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ihonov_d\Documents\tempo\Петанк\турниры\микст\2023\"/>
    </mc:Choice>
  </mc:AlternateContent>
  <bookViews>
    <workbookView xWindow="-120" yWindow="-120" windowWidth="29040" windowHeight="15840" activeTab="8"/>
  </bookViews>
  <sheets>
    <sheet name="Регистрация" sheetId="1" r:id="rId1"/>
    <sheet name="A" sheetId="2" r:id="rId2"/>
    <sheet name="B" sheetId="3" r:id="rId3"/>
    <sheet name="C" sheetId="4" r:id="rId4"/>
    <sheet name="D" sheetId="10" r:id="rId5"/>
    <sheet name="E" sheetId="12" r:id="rId6"/>
    <sheet name="F" sheetId="13" r:id="rId7"/>
    <sheet name="G" sheetId="14" r:id="rId8"/>
    <sheet name="Кубок А" sheetId="8" r:id="rId9"/>
    <sheet name="Кубок В" sheetId="11" r:id="rId10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G12" i="13"/>
  <c r="F10" i="13"/>
  <c r="J8" i="13"/>
  <c r="H31" i="13"/>
  <c r="I6" i="13"/>
  <c r="H4" i="13"/>
  <c r="F6" i="13"/>
  <c r="H35" i="13"/>
  <c r="G10" i="13"/>
  <c r="F8" i="13"/>
  <c r="J6" i="13"/>
  <c r="I4" i="13"/>
  <c r="C23" i="13"/>
  <c r="C19" i="13"/>
  <c r="F12" i="13"/>
  <c r="F13" i="13" s="1"/>
  <c r="J10" i="13"/>
  <c r="J11" i="13" s="1"/>
  <c r="I8" i="13"/>
  <c r="I9" i="13" s="1"/>
  <c r="F7" i="13"/>
  <c r="H6" i="13"/>
  <c r="H7" i="13" s="1"/>
  <c r="G4" i="13"/>
  <c r="G5" i="13" s="1"/>
  <c r="I5" i="13"/>
  <c r="C34" i="13"/>
  <c r="C26" i="13"/>
  <c r="H12" i="13"/>
  <c r="F11" i="13"/>
  <c r="I7" i="13"/>
  <c r="H5" i="13"/>
  <c r="H30" i="13"/>
  <c r="H26" i="13"/>
  <c r="H22" i="13"/>
  <c r="H13" i="13"/>
  <c r="I12" i="13"/>
  <c r="I13" i="13" s="1"/>
  <c r="G11" i="13"/>
  <c r="H10" i="13"/>
  <c r="H11" i="13" s="1"/>
  <c r="F9" i="13"/>
  <c r="G8" i="13"/>
  <c r="G9" i="13" s="1"/>
  <c r="J7" i="13"/>
  <c r="J4" i="13"/>
  <c r="J5" i="13" s="1"/>
  <c r="C30" i="13"/>
  <c r="G13" i="13"/>
  <c r="J9" i="13"/>
  <c r="G12" i="10"/>
  <c r="F10" i="10"/>
  <c r="J8" i="10"/>
  <c r="H31" i="10"/>
  <c r="I6" i="10"/>
  <c r="H4" i="10"/>
  <c r="G4" i="10"/>
  <c r="G5" i="10" s="1"/>
  <c r="F6" i="10"/>
  <c r="H35" i="10"/>
  <c r="C26" i="10"/>
  <c r="H12" i="10"/>
  <c r="F11" i="10"/>
  <c r="J6" i="10"/>
  <c r="H5" i="10"/>
  <c r="C23" i="10"/>
  <c r="C19" i="10"/>
  <c r="F12" i="10"/>
  <c r="F13" i="10" s="1"/>
  <c r="J10" i="10"/>
  <c r="J11" i="10" s="1"/>
  <c r="I8" i="10"/>
  <c r="I9" i="10" s="1"/>
  <c r="F7" i="10"/>
  <c r="H6" i="10"/>
  <c r="H7" i="10" s="1"/>
  <c r="J4" i="10"/>
  <c r="J5" i="10" s="1"/>
  <c r="C34" i="10"/>
  <c r="G13" i="10"/>
  <c r="J9" i="10"/>
  <c r="I7" i="10"/>
  <c r="I4" i="10"/>
  <c r="H30" i="10"/>
  <c r="H26" i="10"/>
  <c r="H22" i="10"/>
  <c r="H13" i="10"/>
  <c r="I12" i="10"/>
  <c r="I13" i="10" s="1"/>
  <c r="H10" i="10"/>
  <c r="H11" i="10" s="1"/>
  <c r="G8" i="10"/>
  <c r="G9" i="10" s="1"/>
  <c r="J7" i="10"/>
  <c r="I5" i="10"/>
  <c r="C30" i="10"/>
  <c r="G10" i="10"/>
  <c r="G11" i="10" s="1"/>
  <c r="F8" i="10"/>
  <c r="F9" i="10" s="1"/>
  <c r="G12" i="3"/>
  <c r="F10" i="3"/>
  <c r="J8" i="3"/>
  <c r="H31" i="3"/>
  <c r="I6" i="3"/>
  <c r="H4" i="3"/>
  <c r="G4" i="3"/>
  <c r="G5" i="3" s="1"/>
  <c r="C26" i="3"/>
  <c r="H12" i="3"/>
  <c r="F11" i="3"/>
  <c r="I7" i="3"/>
  <c r="C31" i="3"/>
  <c r="C19" i="3"/>
  <c r="F12" i="3"/>
  <c r="F13" i="3" s="1"/>
  <c r="J10" i="3"/>
  <c r="J11" i="3" s="1"/>
  <c r="I8" i="3"/>
  <c r="I9" i="3" s="1"/>
  <c r="H6" i="3"/>
  <c r="H7" i="3" s="1"/>
  <c r="F6" i="3"/>
  <c r="F7" i="3" s="1"/>
  <c r="G10" i="3"/>
  <c r="F8" i="3"/>
  <c r="J6" i="3"/>
  <c r="I4" i="3"/>
  <c r="I5" i="3" s="1"/>
  <c r="H34" i="3"/>
  <c r="H30" i="3"/>
  <c r="H26" i="3"/>
  <c r="H22" i="3"/>
  <c r="H13" i="3"/>
  <c r="I12" i="3"/>
  <c r="I13" i="3" s="1"/>
  <c r="G11" i="3"/>
  <c r="H10" i="3"/>
  <c r="H11" i="3" s="1"/>
  <c r="F9" i="3"/>
  <c r="G8" i="3"/>
  <c r="G9" i="3" s="1"/>
  <c r="J7" i="3"/>
  <c r="J4" i="3"/>
  <c r="J5" i="3" s="1"/>
  <c r="C30" i="3"/>
  <c r="G13" i="3"/>
  <c r="J9" i="3"/>
  <c r="H5" i="3"/>
  <c r="J14" i="2"/>
  <c r="F14" i="2"/>
  <c r="G12" i="2"/>
  <c r="H10" i="2"/>
  <c r="J8" i="2"/>
  <c r="K6" i="2"/>
  <c r="F6" i="2"/>
  <c r="H4" i="2"/>
  <c r="C30" i="2"/>
  <c r="G4" i="2"/>
  <c r="C37" i="2"/>
  <c r="C21" i="2"/>
  <c r="F15" i="2"/>
  <c r="I12" i="2"/>
  <c r="I13" i="2" s="1"/>
  <c r="H11" i="2"/>
  <c r="K10" i="2"/>
  <c r="K11" i="2" s="1"/>
  <c r="F10" i="2"/>
  <c r="F11" i="2" s="1"/>
  <c r="G8" i="2"/>
  <c r="G9" i="2" s="1"/>
  <c r="F7" i="2"/>
  <c r="J4" i="2"/>
  <c r="J5" i="2" s="1"/>
  <c r="H26" i="2"/>
  <c r="G14" i="2"/>
  <c r="J10" i="2"/>
  <c r="K8" i="2"/>
  <c r="F8" i="2"/>
  <c r="H6" i="2"/>
  <c r="G5" i="2"/>
  <c r="H41" i="2"/>
  <c r="H37" i="2"/>
  <c r="H27" i="2"/>
  <c r="G15" i="2"/>
  <c r="I14" i="2"/>
  <c r="K12" i="2"/>
  <c r="F12" i="2"/>
  <c r="F13" i="2" s="1"/>
  <c r="J11" i="2"/>
  <c r="G10" i="2"/>
  <c r="K9" i="2"/>
  <c r="F9" i="2"/>
  <c r="I8" i="2"/>
  <c r="I9" i="2" s="1"/>
  <c r="H7" i="2"/>
  <c r="J6" i="2"/>
  <c r="K4" i="2"/>
  <c r="C31" i="2"/>
  <c r="C25" i="2"/>
  <c r="J15" i="2"/>
  <c r="H14" i="2"/>
  <c r="H15" i="2" s="1"/>
  <c r="G13" i="2"/>
  <c r="J9" i="2"/>
  <c r="K7" i="2"/>
  <c r="I6" i="2"/>
  <c r="I7" i="2" s="1"/>
  <c r="H5" i="2"/>
  <c r="H30" i="2"/>
  <c r="I15" i="2"/>
  <c r="K13" i="2"/>
  <c r="H12" i="2"/>
  <c r="H13" i="2" s="1"/>
  <c r="G11" i="2"/>
  <c r="J7" i="2"/>
  <c r="K5" i="2"/>
  <c r="I4" i="2"/>
  <c r="I5" i="2" s="1"/>
  <c r="C22" i="2"/>
  <c r="C40" i="2"/>
  <c r="H20" i="2"/>
  <c r="C35" i="2"/>
  <c r="H40" i="2"/>
  <c r="H21" i="2"/>
  <c r="H35" i="2"/>
  <c r="H32" i="2"/>
  <c r="C26" i="2"/>
  <c r="C42" i="2"/>
  <c r="H31" i="2"/>
  <c r="C27" i="2"/>
  <c r="C20" i="2"/>
  <c r="C36" i="2"/>
  <c r="H42" i="2"/>
  <c r="H22" i="2"/>
  <c r="C41" i="2"/>
  <c r="H25" i="2"/>
  <c r="H36" i="2"/>
  <c r="C32" i="2"/>
  <c r="C18" i="3"/>
  <c r="H23" i="3"/>
  <c r="C27" i="3"/>
  <c r="C34" i="3"/>
  <c r="H19" i="3"/>
  <c r="C23" i="3"/>
  <c r="H35" i="3"/>
  <c r="H18" i="3"/>
  <c r="C22" i="3"/>
  <c r="C35" i="3"/>
  <c r="H27" i="3"/>
  <c r="C27" i="10"/>
  <c r="H19" i="10"/>
  <c r="H18" i="10"/>
  <c r="C22" i="10"/>
  <c r="C35" i="10"/>
  <c r="H27" i="10"/>
  <c r="C18" i="10"/>
  <c r="H34" i="10"/>
  <c r="C31" i="10"/>
  <c r="H23" i="10"/>
  <c r="C27" i="13"/>
  <c r="H19" i="13"/>
  <c r="H18" i="13"/>
  <c r="C35" i="13"/>
  <c r="C22" i="13"/>
  <c r="H27" i="13"/>
  <c r="H34" i="13"/>
  <c r="C18" i="13"/>
  <c r="C31" i="13"/>
  <c r="H23" i="13"/>
  <c r="K8" i="13" l="1"/>
  <c r="L9" i="13"/>
  <c r="K10" i="13"/>
  <c r="L11" i="13"/>
  <c r="L5" i="13"/>
  <c r="K4" i="13"/>
  <c r="L7" i="13"/>
  <c r="K6" i="13"/>
  <c r="L13" i="13"/>
  <c r="K12" i="13"/>
  <c r="K8" i="10"/>
  <c r="L9" i="10"/>
  <c r="L7" i="10"/>
  <c r="K6" i="10"/>
  <c r="L13" i="10"/>
  <c r="K12" i="10"/>
  <c r="K10" i="10"/>
  <c r="L11" i="10"/>
  <c r="L5" i="10"/>
  <c r="K4" i="10"/>
  <c r="K8" i="3"/>
  <c r="L9" i="3"/>
  <c r="K6" i="3"/>
  <c r="L7" i="3"/>
  <c r="L13" i="3"/>
  <c r="K12" i="3"/>
  <c r="K10" i="3"/>
  <c r="L11" i="3"/>
  <c r="L5" i="3"/>
  <c r="K4" i="3"/>
  <c r="M9" i="2"/>
  <c r="L8" i="2"/>
  <c r="L12" i="2"/>
  <c r="M13" i="2"/>
  <c r="L4" i="2"/>
  <c r="M5" i="2"/>
  <c r="L6" i="2"/>
  <c r="M7" i="2"/>
  <c r="M11" i="2"/>
  <c r="L10" i="2"/>
  <c r="L14" i="2"/>
  <c r="M15" i="2"/>
  <c r="F5" i="1"/>
  <c r="F34" i="1"/>
  <c r="F23" i="1"/>
  <c r="F40" i="1"/>
  <c r="F39" i="1"/>
  <c r="F38" i="1"/>
  <c r="F37" i="1"/>
  <c r="F36" i="1"/>
  <c r="F35" i="1"/>
  <c r="F33" i="1"/>
  <c r="F32" i="1"/>
  <c r="F30" i="1"/>
  <c r="F31" i="1"/>
  <c r="F29" i="1"/>
  <c r="F28" i="1"/>
  <c r="F27" i="1"/>
  <c r="F26" i="1"/>
  <c r="F25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4" i="1"/>
  <c r="F3" i="1"/>
  <c r="G12" i="14"/>
  <c r="I6" i="14"/>
  <c r="F10" i="14"/>
  <c r="H4" i="14"/>
  <c r="C23" i="14"/>
  <c r="J4" i="14"/>
  <c r="F8" i="14"/>
  <c r="H26" i="14"/>
  <c r="F6" i="14"/>
  <c r="I4" i="14"/>
  <c r="C35" i="14"/>
  <c r="G4" i="14"/>
  <c r="I12" i="14"/>
  <c r="J6" i="14"/>
  <c r="J8" i="14"/>
  <c r="J9" i="14" s="1"/>
  <c r="H6" i="14"/>
  <c r="G13" i="14"/>
  <c r="I7" i="14"/>
  <c r="C30" i="14"/>
  <c r="H5" i="14"/>
  <c r="C34" i="14"/>
  <c r="C27" i="14"/>
  <c r="H27" i="14"/>
  <c r="G8" i="14"/>
  <c r="G9" i="14" s="1"/>
  <c r="H12" i="14"/>
  <c r="F12" i="14"/>
  <c r="I8" i="14"/>
  <c r="C18" i="14"/>
  <c r="H34" i="14"/>
  <c r="H13" i="14"/>
  <c r="H10" i="14"/>
  <c r="C22" i="14"/>
  <c r="H19" i="14"/>
  <c r="F11" i="14"/>
  <c r="C31" i="14"/>
  <c r="J10" i="14"/>
  <c r="G10" i="14"/>
  <c r="G11" i="14" s="1"/>
  <c r="H30" i="14"/>
  <c r="F9" i="14"/>
  <c r="H18" i="14"/>
  <c r="J10" i="12"/>
  <c r="H6" i="12"/>
  <c r="G12" i="12"/>
  <c r="K6" i="12"/>
  <c r="I12" i="12"/>
  <c r="J4" i="12"/>
  <c r="G10" i="12"/>
  <c r="H7" i="12"/>
  <c r="K4" i="12"/>
  <c r="G8" i="12"/>
  <c r="B52" i="8"/>
  <c r="B64" i="8"/>
  <c r="B32" i="8"/>
  <c r="B20" i="8"/>
  <c r="F12" i="12"/>
  <c r="B36" i="8"/>
  <c r="B16" i="8"/>
  <c r="B4" i="8"/>
  <c r="H12" i="12"/>
  <c r="H13" i="12" s="1"/>
  <c r="F8" i="12"/>
  <c r="F9" i="12" s="1"/>
  <c r="F14" i="12"/>
  <c r="C40" i="12"/>
  <c r="H14" i="12"/>
  <c r="I6" i="12"/>
  <c r="J11" i="12"/>
  <c r="I8" i="12"/>
  <c r="C31" i="12"/>
  <c r="F10" i="12"/>
  <c r="B60" i="8"/>
  <c r="B28" i="8"/>
  <c r="B40" i="8"/>
  <c r="B8" i="8"/>
  <c r="H26" i="12"/>
  <c r="H30" i="12"/>
  <c r="I4" i="12"/>
  <c r="I5" i="12" s="1"/>
  <c r="H10" i="12"/>
  <c r="H11" i="12" s="1"/>
  <c r="F6" i="12"/>
  <c r="K10" i="12"/>
  <c r="H37" i="12"/>
  <c r="K12" i="12"/>
  <c r="J6" i="12"/>
  <c r="G4" i="12"/>
  <c r="G13" i="12"/>
  <c r="F7" i="12"/>
  <c r="B44" i="8"/>
  <c r="B56" i="8"/>
  <c r="B24" i="8"/>
  <c r="B12" i="8"/>
  <c r="C22" i="12"/>
  <c r="C25" i="12"/>
  <c r="I14" i="12"/>
  <c r="B48" i="8"/>
  <c r="G14" i="12"/>
  <c r="G15" i="12" s="1"/>
  <c r="K8" i="12"/>
  <c r="K9" i="12" s="1"/>
  <c r="J14" i="12"/>
  <c r="J15" i="12" s="1"/>
  <c r="J8" i="12"/>
  <c r="H4" i="12"/>
  <c r="J9" i="12"/>
  <c r="H35" i="12"/>
  <c r="H22" i="14"/>
  <c r="C19" i="14"/>
  <c r="C26" i="14"/>
  <c r="H20" i="12"/>
  <c r="H40" i="12"/>
  <c r="C35" i="12"/>
  <c r="H22" i="12"/>
  <c r="H25" i="12"/>
  <c r="C41" i="12"/>
  <c r="H36" i="12"/>
  <c r="C32" i="12"/>
  <c r="C37" i="12"/>
  <c r="H27" i="12"/>
  <c r="C21" i="12"/>
  <c r="H41" i="12"/>
  <c r="C30" i="12"/>
  <c r="C36" i="12"/>
  <c r="H31" i="12"/>
  <c r="H42" i="12"/>
  <c r="C27" i="12"/>
  <c r="C20" i="12"/>
  <c r="C26" i="12"/>
  <c r="C42" i="12"/>
  <c r="H21" i="12"/>
  <c r="B4" i="11" l="1"/>
  <c r="F6" i="8"/>
  <c r="F14" i="8"/>
  <c r="J10" i="8" s="1"/>
  <c r="N18" i="8" s="1"/>
  <c r="F22" i="8"/>
  <c r="F30" i="8"/>
  <c r="J26" i="8" s="1"/>
  <c r="B68" i="8" s="1"/>
  <c r="F38" i="8"/>
  <c r="F54" i="8"/>
  <c r="F46" i="8"/>
  <c r="F62" i="8"/>
  <c r="H5" i="12"/>
  <c r="I15" i="12"/>
  <c r="K11" i="12"/>
  <c r="I9" i="12"/>
  <c r="F13" i="12"/>
  <c r="J5" i="12"/>
  <c r="F13" i="14"/>
  <c r="J7" i="14"/>
  <c r="F7" i="14"/>
  <c r="G11" i="12"/>
  <c r="H7" i="14"/>
  <c r="H32" i="12"/>
  <c r="G5" i="12"/>
  <c r="I7" i="12"/>
  <c r="G9" i="12"/>
  <c r="I13" i="12"/>
  <c r="H31" i="14"/>
  <c r="I13" i="14"/>
  <c r="J5" i="14"/>
  <c r="I5" i="14"/>
  <c r="J7" i="12"/>
  <c r="H15" i="12"/>
  <c r="K5" i="12"/>
  <c r="K7" i="12"/>
  <c r="H11" i="14"/>
  <c r="H23" i="14"/>
  <c r="G5" i="14"/>
  <c r="H35" i="14"/>
  <c r="K13" i="12"/>
  <c r="F11" i="12"/>
  <c r="F15" i="12"/>
  <c r="J11" i="14"/>
  <c r="I9" i="14"/>
  <c r="J58" i="8" l="1"/>
  <c r="J42" i="8"/>
  <c r="L9" i="14"/>
  <c r="K8" i="14"/>
  <c r="L14" i="12"/>
  <c r="M15" i="12"/>
  <c r="M11" i="12"/>
  <c r="L10" i="12"/>
  <c r="L5" i="14"/>
  <c r="K4" i="14"/>
  <c r="K10" i="14"/>
  <c r="L11" i="14"/>
  <c r="M9" i="12"/>
  <c r="L8" i="12"/>
  <c r="M7" i="12"/>
  <c r="L6" i="12"/>
  <c r="M5" i="12"/>
  <c r="L4" i="12"/>
  <c r="L7" i="14"/>
  <c r="K6" i="14"/>
  <c r="L13" i="14"/>
  <c r="K12" i="14"/>
  <c r="M13" i="12"/>
  <c r="L12" i="12"/>
  <c r="F6" i="11"/>
  <c r="J10" i="11" s="1"/>
  <c r="N18" i="11" s="1"/>
  <c r="F22" i="11"/>
  <c r="B40" i="11" s="1"/>
  <c r="F38" i="11" s="1"/>
  <c r="F30" i="11"/>
  <c r="J26" i="11" s="1"/>
  <c r="F14" i="11"/>
  <c r="B36" i="11" s="1"/>
  <c r="C22" i="4"/>
  <c r="I8" i="4"/>
  <c r="G12" i="4"/>
  <c r="I4" i="4"/>
  <c r="H10" i="4"/>
  <c r="F12" i="4"/>
  <c r="I6" i="4"/>
  <c r="G10" i="4"/>
  <c r="H18" i="4"/>
  <c r="J4" i="4"/>
  <c r="H27" i="4"/>
  <c r="I12" i="4"/>
  <c r="F8" i="4"/>
  <c r="H4" i="4"/>
  <c r="H12" i="4"/>
  <c r="H35" i="4"/>
  <c r="G4" i="4"/>
  <c r="J6" i="4"/>
  <c r="F10" i="4"/>
  <c r="H26" i="4"/>
  <c r="H34" i="4"/>
  <c r="C31" i="4"/>
  <c r="C27" i="4"/>
  <c r="H23" i="4"/>
  <c r="H6" i="4"/>
  <c r="C23" i="4"/>
  <c r="H13" i="4"/>
  <c r="C18" i="4"/>
  <c r="H11" i="4"/>
  <c r="C19" i="4"/>
  <c r="J10" i="4"/>
  <c r="I9" i="4"/>
  <c r="F6" i="4"/>
  <c r="G8" i="4"/>
  <c r="J8" i="4"/>
  <c r="H19" i="4"/>
  <c r="H30" i="4"/>
  <c r="C34" i="4"/>
  <c r="H31" i="4"/>
  <c r="C26" i="4"/>
  <c r="G9" i="4"/>
  <c r="G13" i="4"/>
  <c r="F11" i="4"/>
  <c r="I13" i="4"/>
  <c r="C35" i="4"/>
  <c r="I5" i="4"/>
  <c r="F7" i="4"/>
  <c r="J5" i="4"/>
  <c r="F9" i="4"/>
  <c r="H5" i="4"/>
  <c r="H7" i="4"/>
  <c r="G11" i="4"/>
  <c r="I7" i="4"/>
  <c r="F13" i="4"/>
  <c r="J11" i="4"/>
  <c r="C30" i="4"/>
  <c r="G5" i="4"/>
  <c r="J9" i="4"/>
  <c r="H22" i="4"/>
  <c r="J7" i="4"/>
  <c r="N50" i="8" l="1"/>
  <c r="R34" i="8" s="1"/>
  <c r="B72" i="8"/>
  <c r="F70" i="8" s="1"/>
  <c r="L9" i="4"/>
  <c r="K8" i="4"/>
  <c r="K6" i="4"/>
  <c r="L7" i="4"/>
  <c r="L5" i="4"/>
  <c r="K4" i="4"/>
  <c r="L11" i="4"/>
  <c r="K10" i="4"/>
  <c r="K12" i="4"/>
  <c r="L13" i="4"/>
</calcChain>
</file>

<file path=xl/sharedStrings.xml><?xml version="1.0" encoding="utf-8"?>
<sst xmlns="http://schemas.openxmlformats.org/spreadsheetml/2006/main" count="436" uniqueCount="153">
  <si>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</si>
  <si>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</si>
  <si>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</si>
  <si>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</si>
  <si>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</si>
  <si>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</si>
  <si>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</si>
  <si>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</si>
  <si>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</si>
  <si>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Кубок А</t>
  </si>
  <si>
    <t>Тур 4</t>
  </si>
  <si>
    <t>Тур 5</t>
  </si>
  <si>
    <t>Группа А</t>
  </si>
  <si>
    <t>Группа В</t>
  </si>
  <si>
    <t>Группа С</t>
  </si>
  <si>
    <t>Группа D</t>
  </si>
  <si>
    <t>Кубок В</t>
  </si>
  <si>
    <t>Турнир дуплетов микст в Маяке</t>
  </si>
  <si>
    <t>Игрок жен</t>
  </si>
  <si>
    <t>рейт</t>
  </si>
  <si>
    <t>Игрок муж</t>
  </si>
  <si>
    <t>рейтинг команды</t>
  </si>
  <si>
    <t>поток</t>
  </si>
  <si>
    <t>Бирюкова</t>
  </si>
  <si>
    <t>Африканов</t>
  </si>
  <si>
    <t>утро</t>
  </si>
  <si>
    <t>Петрушко Ю.</t>
  </si>
  <si>
    <t>Петрушко А.</t>
  </si>
  <si>
    <t>Бублик</t>
  </si>
  <si>
    <t>Гаджиев</t>
  </si>
  <si>
    <t>Скляр</t>
  </si>
  <si>
    <t>Лютиков</t>
  </si>
  <si>
    <t>Лукьянова</t>
  </si>
  <si>
    <t>Рядовиков</t>
  </si>
  <si>
    <t>Полякова</t>
  </si>
  <si>
    <t>Поляков</t>
  </si>
  <si>
    <t>Дубовицкая</t>
  </si>
  <si>
    <t>Дубовицкий</t>
  </si>
  <si>
    <t>Савченко</t>
  </si>
  <si>
    <t>Колесников</t>
  </si>
  <si>
    <t>Комарова</t>
  </si>
  <si>
    <t>Комаров</t>
  </si>
  <si>
    <t>Гурина</t>
  </si>
  <si>
    <t>Карасев</t>
  </si>
  <si>
    <t>Филатова</t>
  </si>
  <si>
    <t>Филатов</t>
  </si>
  <si>
    <t>Коргунова</t>
  </si>
  <si>
    <t>Энжольрас</t>
  </si>
  <si>
    <t>Агапова</t>
  </si>
  <si>
    <t>Агапов</t>
  </si>
  <si>
    <t>Пименова</t>
  </si>
  <si>
    <t>Смирнов</t>
  </si>
  <si>
    <t>Сафонова</t>
  </si>
  <si>
    <t>Папоян</t>
  </si>
  <si>
    <t>Кузнецова Е.</t>
  </si>
  <si>
    <t>Красноперов</t>
  </si>
  <si>
    <t>Бугите</t>
  </si>
  <si>
    <t>Царегородцев</t>
  </si>
  <si>
    <t>Кузнецова Л.</t>
  </si>
  <si>
    <t>Педченко</t>
  </si>
  <si>
    <t>Панова</t>
  </si>
  <si>
    <t>Котов</t>
  </si>
  <si>
    <t>Горбулинская</t>
  </si>
  <si>
    <t>Буштрук</t>
  </si>
  <si>
    <t>Финка</t>
  </si>
  <si>
    <t>Петраков</t>
  </si>
  <si>
    <t>Зубова</t>
  </si>
  <si>
    <t>Трутнев</t>
  </si>
  <si>
    <t>вечер</t>
  </si>
  <si>
    <t>Артюхина</t>
  </si>
  <si>
    <t>Гулинин</t>
  </si>
  <si>
    <t>Курбанова</t>
  </si>
  <si>
    <t>Михеенко</t>
  </si>
  <si>
    <t>Крошилова</t>
  </si>
  <si>
    <t>Тихонов</t>
  </si>
  <si>
    <t>Коппа</t>
  </si>
  <si>
    <t>Жака</t>
  </si>
  <si>
    <t>Кирменская</t>
  </si>
  <si>
    <t>Федотовский</t>
  </si>
  <si>
    <t>Хафизова</t>
  </si>
  <si>
    <t>Хафидо</t>
  </si>
  <si>
    <t>Чекмарева</t>
  </si>
  <si>
    <t>Лямунов</t>
  </si>
  <si>
    <t>Гришкова</t>
  </si>
  <si>
    <t>Гришков</t>
  </si>
  <si>
    <t>Воробьева</t>
  </si>
  <si>
    <t>Бейгер</t>
  </si>
  <si>
    <t>Трушина</t>
  </si>
  <si>
    <t>Трушин</t>
  </si>
  <si>
    <t>Акаемова</t>
  </si>
  <si>
    <t>Акаемов</t>
  </si>
  <si>
    <t>Петрова</t>
  </si>
  <si>
    <t>Петров</t>
  </si>
  <si>
    <t>Мурашова</t>
  </si>
  <si>
    <t>Воронов</t>
  </si>
  <si>
    <t>Тихомирова</t>
  </si>
  <si>
    <t>Земцов</t>
  </si>
  <si>
    <t>a</t>
  </si>
  <si>
    <t>e</t>
  </si>
  <si>
    <t>d</t>
  </si>
  <si>
    <t>f</t>
  </si>
  <si>
    <t>3 и 4</t>
  </si>
  <si>
    <t>c</t>
  </si>
  <si>
    <t>g</t>
  </si>
  <si>
    <t>1 и 2</t>
  </si>
  <si>
    <t>b</t>
  </si>
  <si>
    <t>5 и 6</t>
  </si>
  <si>
    <t>7 и 8</t>
  </si>
  <si>
    <t>Группа E</t>
  </si>
  <si>
    <t>Группа F</t>
  </si>
  <si>
    <t>Группа G</t>
  </si>
  <si>
    <t>9 и 10</t>
  </si>
  <si>
    <t>Голубева</t>
  </si>
  <si>
    <t>Ницинский</t>
  </si>
  <si>
    <t>Поляковы</t>
  </si>
  <si>
    <t>Агаповы</t>
  </si>
  <si>
    <t>Скляр, Лютиков</t>
  </si>
  <si>
    <t>Панова, Котов</t>
  </si>
  <si>
    <t>Комаровы</t>
  </si>
  <si>
    <t>Савченко, Колесников</t>
  </si>
  <si>
    <t>Бирюкова, Африканов</t>
  </si>
  <si>
    <t>Филатовы</t>
  </si>
  <si>
    <t>Дубовицкие</t>
  </si>
  <si>
    <t>Бугите, Царегородцев</t>
  </si>
  <si>
    <t>Кузнецова Е., Красноперов</t>
  </si>
  <si>
    <t>Петрушко</t>
  </si>
  <si>
    <t>Сафонова, Папоян</t>
  </si>
  <si>
    <t>Мурашова, Воронов</t>
  </si>
  <si>
    <t>Кузнецова Л., Педченко</t>
  </si>
  <si>
    <t>Финка, Петраков</t>
  </si>
  <si>
    <t>Голубева, Ницинский</t>
  </si>
  <si>
    <t>Бублик, Гаджиев</t>
  </si>
  <si>
    <t>Лукьянова, Рядовиков</t>
  </si>
  <si>
    <t>Коргунова, Энжольрас</t>
  </si>
  <si>
    <t>Пименова, Смирнов</t>
  </si>
  <si>
    <t>Крошилова, Тихонов</t>
  </si>
  <si>
    <t>Тихомирова, Земцов</t>
  </si>
  <si>
    <t>Хафизова, Хафидо</t>
  </si>
  <si>
    <t>Гришковы</t>
  </si>
  <si>
    <t>Кирменская, Федотовский</t>
  </si>
  <si>
    <t>Гурина, Карасев</t>
  </si>
  <si>
    <t>Зубова, Трутнев</t>
  </si>
  <si>
    <t>Акаемовы</t>
  </si>
  <si>
    <t>Коппа, Жака</t>
  </si>
  <si>
    <t>Воробьева, Бейгер</t>
  </si>
  <si>
    <t>Петровы</t>
  </si>
  <si>
    <t>Курбанова, Михеенко</t>
  </si>
  <si>
    <t>Трушины</t>
  </si>
  <si>
    <t>Артюхина, Гулинин</t>
  </si>
  <si>
    <t>Чекмарева, Лямунов</t>
  </si>
  <si>
    <t>Горбулинская, Буштрук</t>
  </si>
  <si>
    <t>Кузнецова, Педченко</t>
  </si>
  <si>
    <t>Бирюкова, африканов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</si>
</sst>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4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24"/>
      <color indexed="8"/>
      <name val="Calibri Light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19" xfId="0" applyFont="1" applyBorder="1"/>
    <xf numFmtId="17" fontId="11" fillId="0" borderId="19" xfId="0" applyNumberFormat="1" applyFont="1" applyBorder="1"/>
    <xf numFmtId="0" fontId="11" fillId="0" borderId="0" xfId="0" applyFont="1"/>
    <xf numFmtId="0" fontId="11" fillId="0" borderId="19" xfId="0" applyFont="1" applyBorder="1" applyAlignment="1">
      <alignment wrapText="1"/>
    </xf>
    <xf numFmtId="0" fontId="12" fillId="0" borderId="19" xfId="0" applyFont="1" applyBorder="1" applyAlignment="1">
      <alignment horizontal="center"/>
    </xf>
    <xf numFmtId="0" fontId="12" fillId="0" borderId="19" xfId="0" applyFont="1" applyBorder="1"/>
    <xf numFmtId="0" fontId="12" fillId="0" borderId="19" xfId="0" applyFont="1" applyFill="1" applyBorder="1"/>
    <xf numFmtId="0" fontId="12" fillId="0" borderId="0" xfId="0" applyFont="1"/>
    <xf numFmtId="0" fontId="12" fillId="0" borderId="27" xfId="0" applyFont="1" applyBorder="1" applyAlignment="1">
      <alignment horizontal="center"/>
    </xf>
    <xf numFmtId="0" fontId="12" fillId="0" borderId="27" xfId="0" applyFont="1" applyBorder="1"/>
    <xf numFmtId="0" fontId="12" fillId="0" borderId="27" xfId="0" applyFont="1" applyFill="1" applyBorder="1"/>
    <xf numFmtId="0" fontId="12" fillId="0" borderId="43" xfId="0" applyFont="1" applyBorder="1" applyAlignment="1">
      <alignment horizontal="center"/>
    </xf>
    <xf numFmtId="0" fontId="12" fillId="0" borderId="43" xfId="0" applyFont="1" applyBorder="1"/>
    <xf numFmtId="0" fontId="12" fillId="0" borderId="43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17" xfId="0" applyFont="1" applyFill="1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 indent="1"/>
    </xf>
    <xf numFmtId="0" fontId="2" fillId="0" borderId="24" xfId="0" applyFont="1" applyFill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2" fillId="3" borderId="25" xfId="0" applyFont="1" applyFill="1" applyBorder="1" applyAlignment="1">
      <alignment horizontal="left" vertical="center" wrapText="1" indent="1"/>
    </xf>
    <xf numFmtId="0" fontId="2" fillId="4" borderId="15" xfId="0" applyFont="1" applyFill="1" applyBorder="1" applyAlignment="1">
      <alignment horizontal="left" vertical="center" wrapText="1" indent="1"/>
    </xf>
    <xf numFmtId="0" fontId="2" fillId="4" borderId="16" xfId="0" applyFont="1" applyFill="1" applyBorder="1" applyAlignment="1">
      <alignment horizontal="left" vertical="center" wrapText="1" indent="1"/>
    </xf>
    <xf numFmtId="0" fontId="2" fillId="4" borderId="17" xfId="0" applyFont="1" applyFill="1" applyBorder="1" applyAlignment="1">
      <alignment horizontal="left" vertical="center" wrapText="1" indent="1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J27" sqref="J27"/>
    </sheetView>
  </sheetViews>
  <sheetFormatPr defaultRowHeight="15.75" x14ac:dyDescent="0.25"/>
  <cols>
    <col min="1" max="1" width="5.28515625" style="61" customWidth="1"/>
    <col min="2" max="2" width="14" style="61" customWidth="1"/>
    <col min="3" max="3" width="6.5703125" style="61" customWidth="1"/>
    <col min="4" max="4" width="14.85546875" style="61" customWidth="1"/>
    <col min="5" max="5" width="7" style="61" customWidth="1"/>
    <col min="6" max="6" width="12.85546875" style="61" customWidth="1"/>
    <col min="7" max="7" width="8.140625" style="61" customWidth="1"/>
    <col min="8" max="8" width="14" style="61" customWidth="1"/>
    <col min="9" max="16384" width="9.140625" style="61"/>
  </cols>
  <sheetData>
    <row r="1" spans="1:8" s="56" customFormat="1" x14ac:dyDescent="0.25">
      <c r="A1" s="54"/>
      <c r="B1" s="54" t="s">
        <v>17</v>
      </c>
      <c r="C1" s="54"/>
      <c r="D1" s="54"/>
      <c r="E1" s="55"/>
      <c r="F1" s="54"/>
      <c r="G1" s="54"/>
    </row>
    <row r="2" spans="1:8" s="56" customFormat="1" ht="31.5" x14ac:dyDescent="0.25">
      <c r="A2" s="54"/>
      <c r="B2" s="54" t="s">
        <v>18</v>
      </c>
      <c r="C2" s="54" t="s">
        <v>19</v>
      </c>
      <c r="D2" s="54" t="s">
        <v>20</v>
      </c>
      <c r="E2" s="54" t="s">
        <v>19</v>
      </c>
      <c r="F2" s="57" t="s">
        <v>21</v>
      </c>
      <c r="G2" s="54" t="s">
        <v>22</v>
      </c>
      <c r="H2" s="54"/>
    </row>
    <row r="3" spans="1:8" x14ac:dyDescent="0.25">
      <c r="A3" s="58">
        <v>1</v>
      </c>
      <c r="B3" s="59" t="s">
        <v>23</v>
      </c>
      <c r="C3" s="59">
        <v>113</v>
      </c>
      <c r="D3" s="59" t="s">
        <v>24</v>
      </c>
      <c r="E3" s="59">
        <v>106</v>
      </c>
      <c r="F3" s="59">
        <f>E3+C3</f>
        <v>219</v>
      </c>
      <c r="G3" s="60" t="s">
        <v>25</v>
      </c>
      <c r="H3" s="59"/>
    </row>
    <row r="4" spans="1:8" x14ac:dyDescent="0.25">
      <c r="A4" s="58">
        <v>2</v>
      </c>
      <c r="B4" s="59" t="s">
        <v>26</v>
      </c>
      <c r="C4" s="59">
        <v>97</v>
      </c>
      <c r="D4" s="59" t="s">
        <v>27</v>
      </c>
      <c r="E4" s="59">
        <v>80</v>
      </c>
      <c r="F4" s="59">
        <f>E4+C4</f>
        <v>177</v>
      </c>
      <c r="G4" s="60" t="s">
        <v>25</v>
      </c>
      <c r="H4" s="59"/>
    </row>
    <row r="5" spans="1:8" x14ac:dyDescent="0.25">
      <c r="A5" s="58">
        <v>3</v>
      </c>
      <c r="B5" s="60" t="s">
        <v>93</v>
      </c>
      <c r="C5" s="60">
        <v>81</v>
      </c>
      <c r="D5" s="60" t="s">
        <v>94</v>
      </c>
      <c r="E5" s="60">
        <v>92</v>
      </c>
      <c r="F5" s="60">
        <f>E5+C5</f>
        <v>173</v>
      </c>
      <c r="G5" s="60" t="s">
        <v>25</v>
      </c>
      <c r="H5" s="59"/>
    </row>
    <row r="6" spans="1:8" x14ac:dyDescent="0.25">
      <c r="A6" s="58">
        <v>4</v>
      </c>
      <c r="B6" s="59" t="s">
        <v>28</v>
      </c>
      <c r="C6" s="59">
        <v>58</v>
      </c>
      <c r="D6" s="59" t="s">
        <v>29</v>
      </c>
      <c r="E6" s="59">
        <v>111</v>
      </c>
      <c r="F6" s="59">
        <f>E6+C6</f>
        <v>169</v>
      </c>
      <c r="G6" s="60" t="s">
        <v>25</v>
      </c>
      <c r="H6" s="59"/>
    </row>
    <row r="7" spans="1:8" x14ac:dyDescent="0.25">
      <c r="A7" s="58">
        <v>5</v>
      </c>
      <c r="B7" s="59" t="s">
        <v>30</v>
      </c>
      <c r="C7" s="59">
        <v>68</v>
      </c>
      <c r="D7" s="59" t="s">
        <v>31</v>
      </c>
      <c r="E7" s="59">
        <v>95</v>
      </c>
      <c r="F7" s="59">
        <f>E7+C7</f>
        <v>163</v>
      </c>
      <c r="G7" s="60" t="s">
        <v>25</v>
      </c>
      <c r="H7" s="59"/>
    </row>
    <row r="8" spans="1:8" x14ac:dyDescent="0.25">
      <c r="A8" s="58">
        <v>6</v>
      </c>
      <c r="B8" s="59" t="s">
        <v>32</v>
      </c>
      <c r="C8" s="59">
        <v>75</v>
      </c>
      <c r="D8" s="59" t="s">
        <v>33</v>
      </c>
      <c r="E8" s="59">
        <v>87</v>
      </c>
      <c r="F8" s="59">
        <f>E8+C8</f>
        <v>162</v>
      </c>
      <c r="G8" s="60" t="s">
        <v>25</v>
      </c>
      <c r="H8" s="59"/>
    </row>
    <row r="9" spans="1:8" x14ac:dyDescent="0.25">
      <c r="A9" s="58">
        <v>7</v>
      </c>
      <c r="B9" s="66" t="s">
        <v>34</v>
      </c>
      <c r="C9" s="66">
        <v>71</v>
      </c>
      <c r="D9" s="66" t="s">
        <v>35</v>
      </c>
      <c r="E9" s="66">
        <v>88</v>
      </c>
      <c r="F9" s="66">
        <f>E9+C9</f>
        <v>159</v>
      </c>
      <c r="G9" s="67" t="s">
        <v>25</v>
      </c>
      <c r="H9" s="66"/>
    </row>
    <row r="10" spans="1:8" ht="16.5" thickBot="1" x14ac:dyDescent="0.3">
      <c r="A10" s="62">
        <v>8</v>
      </c>
      <c r="B10" s="63" t="s">
        <v>36</v>
      </c>
      <c r="C10" s="63">
        <v>76</v>
      </c>
      <c r="D10" s="63" t="s">
        <v>37</v>
      </c>
      <c r="E10" s="63">
        <v>80</v>
      </c>
      <c r="F10" s="63">
        <f>E10+C10</f>
        <v>156</v>
      </c>
      <c r="G10" s="64" t="s">
        <v>25</v>
      </c>
      <c r="H10" s="63"/>
    </row>
    <row r="11" spans="1:8" x14ac:dyDescent="0.25">
      <c r="A11" s="65">
        <v>9</v>
      </c>
      <c r="B11" s="66" t="s">
        <v>38</v>
      </c>
      <c r="C11" s="66">
        <v>90</v>
      </c>
      <c r="D11" s="66" t="s">
        <v>39</v>
      </c>
      <c r="E11" s="66">
        <v>39</v>
      </c>
      <c r="F11" s="66">
        <f>E11+C11</f>
        <v>129</v>
      </c>
      <c r="G11" s="67" t="s">
        <v>25</v>
      </c>
      <c r="H11" s="66"/>
    </row>
    <row r="12" spans="1:8" x14ac:dyDescent="0.25">
      <c r="A12" s="58">
        <v>10</v>
      </c>
      <c r="B12" s="59" t="s">
        <v>40</v>
      </c>
      <c r="C12" s="59">
        <v>59</v>
      </c>
      <c r="D12" s="59" t="s">
        <v>41</v>
      </c>
      <c r="E12" s="59">
        <v>61</v>
      </c>
      <c r="F12" s="59">
        <f>E12+C12</f>
        <v>120</v>
      </c>
      <c r="G12" s="60" t="s">
        <v>25</v>
      </c>
      <c r="H12" s="59"/>
    </row>
    <row r="13" spans="1:8" x14ac:dyDescent="0.25">
      <c r="A13" s="58">
        <v>11</v>
      </c>
      <c r="B13" s="60" t="s">
        <v>44</v>
      </c>
      <c r="C13" s="60">
        <v>0</v>
      </c>
      <c r="D13" s="60" t="s">
        <v>45</v>
      </c>
      <c r="E13" s="60">
        <v>82</v>
      </c>
      <c r="F13" s="60">
        <f>E13+C13</f>
        <v>82</v>
      </c>
      <c r="G13" s="60" t="s">
        <v>25</v>
      </c>
      <c r="H13" s="59"/>
    </row>
    <row r="14" spans="1:8" x14ac:dyDescent="0.25">
      <c r="A14" s="58">
        <v>12</v>
      </c>
      <c r="B14" s="60" t="s">
        <v>46</v>
      </c>
      <c r="C14" s="60">
        <v>0</v>
      </c>
      <c r="D14" s="60" t="s">
        <v>47</v>
      </c>
      <c r="E14" s="60">
        <v>71</v>
      </c>
      <c r="F14" s="60">
        <f>E14+C14</f>
        <v>71</v>
      </c>
      <c r="G14" s="60" t="s">
        <v>25</v>
      </c>
      <c r="H14" s="59"/>
    </row>
    <row r="15" spans="1:8" x14ac:dyDescent="0.25">
      <c r="A15" s="58">
        <v>13</v>
      </c>
      <c r="B15" s="60" t="s">
        <v>48</v>
      </c>
      <c r="C15" s="60">
        <v>0</v>
      </c>
      <c r="D15" s="60" t="s">
        <v>49</v>
      </c>
      <c r="E15" s="60">
        <v>70</v>
      </c>
      <c r="F15" s="60">
        <f>E15+C15</f>
        <v>70</v>
      </c>
      <c r="G15" s="60" t="s">
        <v>25</v>
      </c>
      <c r="H15" s="59"/>
    </row>
    <row r="16" spans="1:8" x14ac:dyDescent="0.25">
      <c r="A16" s="58">
        <v>14</v>
      </c>
      <c r="B16" s="60" t="s">
        <v>50</v>
      </c>
      <c r="C16" s="60">
        <v>44</v>
      </c>
      <c r="D16" s="60" t="s">
        <v>51</v>
      </c>
      <c r="E16" s="60">
        <v>21</v>
      </c>
      <c r="F16" s="60">
        <f>E16+C16</f>
        <v>65</v>
      </c>
      <c r="G16" s="60" t="s">
        <v>25</v>
      </c>
      <c r="H16" s="59"/>
    </row>
    <row r="17" spans="1:8" x14ac:dyDescent="0.25">
      <c r="A17" s="58">
        <v>15</v>
      </c>
      <c r="B17" s="60" t="s">
        <v>52</v>
      </c>
      <c r="C17" s="60">
        <v>57</v>
      </c>
      <c r="D17" s="60" t="s">
        <v>53</v>
      </c>
      <c r="E17" s="60">
        <v>0</v>
      </c>
      <c r="F17" s="60">
        <f>E17+C17</f>
        <v>57</v>
      </c>
      <c r="G17" s="60" t="s">
        <v>25</v>
      </c>
      <c r="H17" s="59"/>
    </row>
    <row r="18" spans="1:8" x14ac:dyDescent="0.25">
      <c r="A18" s="58">
        <v>16</v>
      </c>
      <c r="B18" s="60" t="s">
        <v>112</v>
      </c>
      <c r="C18" s="60">
        <v>0</v>
      </c>
      <c r="D18" s="60" t="s">
        <v>113</v>
      </c>
      <c r="E18" s="60">
        <v>31</v>
      </c>
      <c r="F18" s="60">
        <f>E18+C18</f>
        <v>31</v>
      </c>
      <c r="G18" s="60" t="s">
        <v>25</v>
      </c>
      <c r="H18" s="59"/>
    </row>
    <row r="19" spans="1:8" x14ac:dyDescent="0.25">
      <c r="A19" s="58">
        <v>17</v>
      </c>
      <c r="B19" s="60" t="s">
        <v>54</v>
      </c>
      <c r="C19" s="60">
        <v>17</v>
      </c>
      <c r="D19" s="60" t="s">
        <v>55</v>
      </c>
      <c r="E19" s="60">
        <v>3</v>
      </c>
      <c r="F19" s="60">
        <f>E19+C19</f>
        <v>20</v>
      </c>
      <c r="G19" s="60" t="s">
        <v>25</v>
      </c>
      <c r="H19" s="59"/>
    </row>
    <row r="20" spans="1:8" x14ac:dyDescent="0.25">
      <c r="A20" s="58">
        <v>18</v>
      </c>
      <c r="B20" s="60" t="s">
        <v>56</v>
      </c>
      <c r="C20" s="60">
        <v>0</v>
      </c>
      <c r="D20" s="60" t="s">
        <v>57</v>
      </c>
      <c r="E20" s="60">
        <v>4</v>
      </c>
      <c r="F20" s="60">
        <f>E20+C20</f>
        <v>4</v>
      </c>
      <c r="G20" s="60" t="s">
        <v>25</v>
      </c>
      <c r="H20" s="59"/>
    </row>
    <row r="21" spans="1:8" x14ac:dyDescent="0.25">
      <c r="A21" s="58">
        <v>19</v>
      </c>
      <c r="B21" s="60" t="s">
        <v>58</v>
      </c>
      <c r="C21" s="60">
        <v>0</v>
      </c>
      <c r="D21" s="60" t="s">
        <v>59</v>
      </c>
      <c r="E21" s="60">
        <v>0</v>
      </c>
      <c r="F21" s="60">
        <f>E21+C21</f>
        <v>0</v>
      </c>
      <c r="G21" s="60" t="s">
        <v>25</v>
      </c>
      <c r="H21" s="59"/>
    </row>
    <row r="22" spans="1:8" x14ac:dyDescent="0.25">
      <c r="A22" s="58">
        <v>20</v>
      </c>
      <c r="B22" s="60" t="s">
        <v>60</v>
      </c>
      <c r="C22" s="60">
        <v>0</v>
      </c>
      <c r="D22" s="60" t="s">
        <v>61</v>
      </c>
      <c r="E22" s="60">
        <v>0</v>
      </c>
      <c r="F22" s="60">
        <f>E22+C22</f>
        <v>0</v>
      </c>
      <c r="G22" s="60" t="s">
        <v>25</v>
      </c>
      <c r="H22" s="59"/>
    </row>
    <row r="23" spans="1:8" x14ac:dyDescent="0.25">
      <c r="A23" s="58">
        <v>21</v>
      </c>
      <c r="B23" s="59" t="s">
        <v>64</v>
      </c>
      <c r="C23" s="59">
        <v>0</v>
      </c>
      <c r="D23" s="59" t="s">
        <v>65</v>
      </c>
      <c r="E23" s="59">
        <v>0</v>
      </c>
      <c r="F23" s="59">
        <f>E23+C23</f>
        <v>0</v>
      </c>
      <c r="G23" s="59" t="s">
        <v>25</v>
      </c>
      <c r="H23" s="59"/>
    </row>
    <row r="24" spans="1:8" x14ac:dyDescent="0.25">
      <c r="A24" s="58"/>
      <c r="B24" s="59"/>
      <c r="C24" s="59"/>
      <c r="D24" s="59"/>
      <c r="E24" s="59"/>
      <c r="F24" s="59"/>
      <c r="G24" s="59"/>
      <c r="H24" s="59"/>
    </row>
    <row r="25" spans="1:8" x14ac:dyDescent="0.25">
      <c r="A25" s="58">
        <v>1</v>
      </c>
      <c r="B25" s="60" t="s">
        <v>66</v>
      </c>
      <c r="C25" s="60">
        <v>121</v>
      </c>
      <c r="D25" s="60" t="s">
        <v>67</v>
      </c>
      <c r="E25" s="60">
        <v>117</v>
      </c>
      <c r="F25" s="60">
        <f>E25+C25</f>
        <v>238</v>
      </c>
      <c r="G25" s="60" t="s">
        <v>68</v>
      </c>
      <c r="H25" s="59"/>
    </row>
    <row r="26" spans="1:8" x14ac:dyDescent="0.25">
      <c r="A26" s="58">
        <v>2</v>
      </c>
      <c r="B26" s="60" t="s">
        <v>69</v>
      </c>
      <c r="C26" s="60">
        <v>116</v>
      </c>
      <c r="D26" s="60" t="s">
        <v>70</v>
      </c>
      <c r="E26" s="60">
        <v>119</v>
      </c>
      <c r="F26" s="60">
        <f>E26+C26</f>
        <v>235</v>
      </c>
      <c r="G26" s="60" t="s">
        <v>68</v>
      </c>
      <c r="H26" s="59"/>
    </row>
    <row r="27" spans="1:8" x14ac:dyDescent="0.25">
      <c r="A27" s="58">
        <v>3</v>
      </c>
      <c r="B27" s="60" t="s">
        <v>71</v>
      </c>
      <c r="C27" s="60">
        <v>114</v>
      </c>
      <c r="D27" s="60" t="s">
        <v>72</v>
      </c>
      <c r="E27" s="60">
        <v>113</v>
      </c>
      <c r="F27" s="60">
        <f>E27+C27</f>
        <v>227</v>
      </c>
      <c r="G27" s="60" t="s">
        <v>68</v>
      </c>
      <c r="H27" s="59"/>
    </row>
    <row r="28" spans="1:8" x14ac:dyDescent="0.25">
      <c r="A28" s="58">
        <v>4</v>
      </c>
      <c r="B28" s="60" t="s">
        <v>73</v>
      </c>
      <c r="C28" s="60">
        <v>121</v>
      </c>
      <c r="D28" s="60" t="s">
        <v>74</v>
      </c>
      <c r="E28" s="60">
        <v>103</v>
      </c>
      <c r="F28" s="60">
        <f>E28+C28</f>
        <v>224</v>
      </c>
      <c r="G28" s="60" t="s">
        <v>68</v>
      </c>
      <c r="H28" s="59"/>
    </row>
    <row r="29" spans="1:8" x14ac:dyDescent="0.25">
      <c r="A29" s="58">
        <v>5</v>
      </c>
      <c r="B29" s="60" t="s">
        <v>75</v>
      </c>
      <c r="C29" s="60">
        <v>37</v>
      </c>
      <c r="D29" s="60" t="s">
        <v>76</v>
      </c>
      <c r="E29" s="60">
        <v>130</v>
      </c>
      <c r="F29" s="60">
        <f>E29+C29</f>
        <v>167</v>
      </c>
      <c r="G29" s="60" t="s">
        <v>68</v>
      </c>
      <c r="H29" s="59"/>
    </row>
    <row r="30" spans="1:8" ht="16.5" thickBot="1" x14ac:dyDescent="0.3">
      <c r="A30" s="62">
        <v>6</v>
      </c>
      <c r="B30" s="63" t="s">
        <v>79</v>
      </c>
      <c r="C30" s="63">
        <v>117</v>
      </c>
      <c r="D30" s="63" t="s">
        <v>80</v>
      </c>
      <c r="E30" s="63">
        <v>39</v>
      </c>
      <c r="F30" s="63">
        <f>E30+C30</f>
        <v>156</v>
      </c>
      <c r="G30" s="63" t="s">
        <v>68</v>
      </c>
      <c r="H30" s="63"/>
    </row>
    <row r="31" spans="1:8" x14ac:dyDescent="0.25">
      <c r="A31" s="65">
        <v>7</v>
      </c>
      <c r="B31" s="66" t="s">
        <v>77</v>
      </c>
      <c r="C31" s="66">
        <v>84</v>
      </c>
      <c r="D31" s="66" t="s">
        <v>78</v>
      </c>
      <c r="E31" s="66">
        <v>46</v>
      </c>
      <c r="F31" s="66">
        <f>E31+C31</f>
        <v>130</v>
      </c>
      <c r="G31" s="66" t="s">
        <v>68</v>
      </c>
      <c r="H31" s="66"/>
    </row>
    <row r="32" spans="1:8" x14ac:dyDescent="0.25">
      <c r="A32" s="65">
        <v>8</v>
      </c>
      <c r="B32" s="66" t="s">
        <v>81</v>
      </c>
      <c r="C32" s="66">
        <v>93</v>
      </c>
      <c r="D32" s="66" t="s">
        <v>82</v>
      </c>
      <c r="E32" s="66">
        <v>0</v>
      </c>
      <c r="F32" s="66">
        <f>E32+C32</f>
        <v>93</v>
      </c>
      <c r="G32" s="66" t="s">
        <v>68</v>
      </c>
      <c r="H32" s="59"/>
    </row>
    <row r="33" spans="1:8" x14ac:dyDescent="0.25">
      <c r="A33" s="58">
        <v>9</v>
      </c>
      <c r="B33" s="59" t="s">
        <v>83</v>
      </c>
      <c r="C33" s="59">
        <v>0</v>
      </c>
      <c r="D33" s="59" t="s">
        <v>84</v>
      </c>
      <c r="E33" s="59">
        <v>89</v>
      </c>
      <c r="F33" s="59">
        <f>E33+C33</f>
        <v>89</v>
      </c>
      <c r="G33" s="59" t="s">
        <v>68</v>
      </c>
      <c r="H33" s="59"/>
    </row>
    <row r="34" spans="1:8" x14ac:dyDescent="0.25">
      <c r="A34" s="58">
        <v>10</v>
      </c>
      <c r="B34" s="60" t="s">
        <v>42</v>
      </c>
      <c r="C34" s="60">
        <v>83</v>
      </c>
      <c r="D34" s="60" t="s">
        <v>43</v>
      </c>
      <c r="E34" s="60">
        <v>0</v>
      </c>
      <c r="F34" s="60">
        <f>E34+C34</f>
        <v>83</v>
      </c>
      <c r="G34" s="60" t="s">
        <v>68</v>
      </c>
      <c r="H34" s="59"/>
    </row>
    <row r="35" spans="1:8" x14ac:dyDescent="0.25">
      <c r="A35" s="58">
        <v>11</v>
      </c>
      <c r="B35" s="59" t="s">
        <v>85</v>
      </c>
      <c r="C35" s="59">
        <v>41</v>
      </c>
      <c r="D35" s="59" t="s">
        <v>86</v>
      </c>
      <c r="E35" s="59">
        <v>32</v>
      </c>
      <c r="F35" s="59">
        <f>E35+C35</f>
        <v>73</v>
      </c>
      <c r="G35" s="59" t="s">
        <v>68</v>
      </c>
      <c r="H35" s="59"/>
    </row>
    <row r="36" spans="1:8" x14ac:dyDescent="0.25">
      <c r="A36" s="58">
        <v>12</v>
      </c>
      <c r="B36" s="59" t="s">
        <v>95</v>
      </c>
      <c r="C36" s="59">
        <v>0</v>
      </c>
      <c r="D36" s="59" t="s">
        <v>96</v>
      </c>
      <c r="E36" s="59">
        <v>38</v>
      </c>
      <c r="F36" s="59">
        <f>E36+C36</f>
        <v>38</v>
      </c>
      <c r="G36" s="59" t="s">
        <v>68</v>
      </c>
      <c r="H36" s="59"/>
    </row>
    <row r="37" spans="1:8" x14ac:dyDescent="0.25">
      <c r="A37" s="58">
        <v>13</v>
      </c>
      <c r="B37" s="59" t="s">
        <v>87</v>
      </c>
      <c r="C37" s="59">
        <v>31</v>
      </c>
      <c r="D37" s="59" t="s">
        <v>88</v>
      </c>
      <c r="E37" s="59">
        <v>0</v>
      </c>
      <c r="F37" s="59">
        <f>E37+C37</f>
        <v>31</v>
      </c>
      <c r="G37" s="59" t="s">
        <v>68</v>
      </c>
      <c r="H37" s="59"/>
    </row>
    <row r="38" spans="1:8" x14ac:dyDescent="0.25">
      <c r="A38" s="58">
        <v>14</v>
      </c>
      <c r="B38" s="59" t="s">
        <v>89</v>
      </c>
      <c r="C38" s="59">
        <v>0</v>
      </c>
      <c r="D38" s="59" t="s">
        <v>90</v>
      </c>
      <c r="E38" s="59">
        <v>0</v>
      </c>
      <c r="F38" s="59">
        <f>E38+C38</f>
        <v>0</v>
      </c>
      <c r="G38" s="59" t="s">
        <v>68</v>
      </c>
      <c r="H38" s="59"/>
    </row>
    <row r="39" spans="1:8" x14ac:dyDescent="0.25">
      <c r="A39" s="58">
        <v>15</v>
      </c>
      <c r="B39" s="59" t="s">
        <v>91</v>
      </c>
      <c r="C39" s="59">
        <v>0</v>
      </c>
      <c r="D39" s="59" t="s">
        <v>92</v>
      </c>
      <c r="E39" s="59">
        <v>0</v>
      </c>
      <c r="F39" s="59">
        <f>E39+C39</f>
        <v>0</v>
      </c>
      <c r="G39" s="59" t="s">
        <v>68</v>
      </c>
      <c r="H39" s="59"/>
    </row>
    <row r="40" spans="1:8" x14ac:dyDescent="0.25">
      <c r="A40" s="58">
        <v>16</v>
      </c>
      <c r="B40" s="59" t="s">
        <v>62</v>
      </c>
      <c r="C40" s="59">
        <v>0</v>
      </c>
      <c r="D40" s="59" t="s">
        <v>63</v>
      </c>
      <c r="E40" s="59">
        <v>0</v>
      </c>
      <c r="F40" s="59">
        <f>E40+C40</f>
        <v>0</v>
      </c>
      <c r="G40" s="59" t="s">
        <v>68</v>
      </c>
      <c r="H40" s="59"/>
    </row>
    <row r="41" spans="1:8" x14ac:dyDescent="0.25">
      <c r="A41" s="58"/>
      <c r="B41" s="60"/>
      <c r="C41" s="60"/>
      <c r="D41" s="60"/>
      <c r="E41" s="60"/>
      <c r="F41" s="60"/>
      <c r="G41" s="60"/>
      <c r="H41" s="59"/>
    </row>
    <row r="42" spans="1:8" x14ac:dyDescent="0.25">
      <c r="A42" s="68"/>
      <c r="B42" s="68"/>
      <c r="C42" s="68"/>
      <c r="D42" s="68"/>
      <c r="E42" s="68"/>
      <c r="F42" s="68"/>
      <c r="G42" s="68"/>
    </row>
    <row r="43" spans="1:8" x14ac:dyDescent="0.25">
      <c r="A43" s="68"/>
      <c r="B43" s="68"/>
      <c r="C43" s="68"/>
      <c r="D43" s="68"/>
      <c r="E43" s="68"/>
      <c r="F43" s="68"/>
      <c r="G43" s="68"/>
    </row>
    <row r="44" spans="1:8" x14ac:dyDescent="0.25">
      <c r="A44" s="68"/>
      <c r="B44" s="68"/>
      <c r="C44" s="68"/>
      <c r="D44" s="68"/>
      <c r="E44" s="68"/>
      <c r="F44" s="68"/>
      <c r="G44" s="68"/>
    </row>
    <row r="45" spans="1:8" x14ac:dyDescent="0.25">
      <c r="A45" s="69"/>
      <c r="B45" s="68"/>
      <c r="C45" s="68"/>
      <c r="D45" s="68"/>
      <c r="E45" s="68"/>
      <c r="F45" s="68"/>
      <c r="G45" s="68"/>
    </row>
    <row r="46" spans="1:8" x14ac:dyDescent="0.25">
      <c r="A46" s="68"/>
      <c r="B46" s="68"/>
      <c r="C46" s="68"/>
      <c r="D46" s="68"/>
      <c r="E46" s="68"/>
      <c r="F46" s="68"/>
      <c r="G46" s="68"/>
    </row>
  </sheetData>
  <sortState ref="A3:H40">
    <sortCondition descending="1" ref="G3:G40"/>
    <sortCondition descending="1" ref="F3:F4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>
      <selection activeCell="J40" sqref="J40"/>
    </sheetView>
  </sheetViews>
  <sheetFormatPr defaultRowHeight="15" x14ac:dyDescent="0.25"/>
  <cols>
    <col min="1" max="1" width="4.5703125" style="46" customWidth="1"/>
    <col min="2" max="15" width="9.140625" style="32" customWidth="1"/>
    <col min="16" max="16384" width="9.140625" style="32"/>
  </cols>
  <sheetData>
    <row r="1" spans="2:13" ht="45" x14ac:dyDescent="0.25">
      <c r="B1" s="109" t="s">
        <v>16</v>
      </c>
      <c r="C1" s="109"/>
      <c r="D1" s="109"/>
      <c r="E1" s="109"/>
      <c r="F1" s="109"/>
      <c r="G1" s="109"/>
      <c r="H1" s="109"/>
      <c r="I1" s="109"/>
      <c r="J1" s="109"/>
      <c r="K1" s="109"/>
    </row>
    <row r="2" spans="2:13" ht="15" customHeight="1" x14ac:dyDescent="0.25">
      <c r="C2" s="33"/>
    </row>
    <row r="3" spans="2:13" ht="15" customHeight="1" x14ac:dyDescent="0.25">
      <c r="C3" s="33"/>
    </row>
    <row r="4" spans="2:13" ht="18.75" x14ac:dyDescent="0.25">
      <c r="B4" s="106" t="str">
        <f ca="1">IF('Кубок А'!D4&gt;'Кубок А'!D8,'Кубок А'!B8:C8,'Кубок А'!B4:C4)</f>
        <v>Савченко, Колесников</v>
      </c>
      <c r="C4" s="107"/>
      <c r="D4" s="34">
        <v>13</v>
      </c>
      <c r="E4" s="35"/>
    </row>
    <row r="5" spans="2:13" ht="15" customHeight="1" x14ac:dyDescent="0.25">
      <c r="C5" s="33"/>
      <c r="E5" s="36"/>
    </row>
    <row r="6" spans="2:13" ht="21" x14ac:dyDescent="0.25">
      <c r="B6" s="37" t="s">
        <v>6</v>
      </c>
      <c r="C6" s="50">
        <v>7</v>
      </c>
      <c r="E6" s="38"/>
      <c r="F6" s="105" t="str">
        <f ca="1">IF(ISBLANK(D4),"",IF(D4&gt;D8,B4,B8))</f>
        <v>Савченко, Колесников</v>
      </c>
      <c r="G6" s="107"/>
      <c r="H6" s="34">
        <v>13</v>
      </c>
      <c r="I6" s="35"/>
    </row>
    <row r="7" spans="2:13" ht="15" customHeight="1" x14ac:dyDescent="0.25">
      <c r="C7" s="33"/>
      <c r="E7" s="38"/>
      <c r="I7" s="36"/>
    </row>
    <row r="8" spans="2:13" ht="18.75" x14ac:dyDescent="0.25">
      <c r="B8" s="106" t="s">
        <v>151</v>
      </c>
      <c r="C8" s="107"/>
      <c r="D8" s="34">
        <v>7</v>
      </c>
      <c r="E8" s="39"/>
      <c r="I8" s="38"/>
    </row>
    <row r="9" spans="2:13" ht="15" customHeight="1" x14ac:dyDescent="0.25">
      <c r="C9" s="33"/>
      <c r="I9" s="38"/>
    </row>
    <row r="10" spans="2:13" ht="21" x14ac:dyDescent="0.25">
      <c r="C10" s="33"/>
      <c r="G10" s="37" t="s">
        <v>6</v>
      </c>
      <c r="H10" s="50" t="s">
        <v>111</v>
      </c>
      <c r="I10" s="38"/>
      <c r="J10" s="105" t="str">
        <f ca="1">IF(ISBLANK(H6),"",IF(H6&gt;H14,F6,F14))</f>
        <v>Савченко, Колесников</v>
      </c>
      <c r="K10" s="106"/>
      <c r="L10" s="34">
        <v>11</v>
      </c>
      <c r="M10" s="35"/>
    </row>
    <row r="11" spans="2:13" ht="15" customHeight="1" x14ac:dyDescent="0.25">
      <c r="C11" s="33"/>
      <c r="I11" s="38"/>
      <c r="M11" s="36"/>
    </row>
    <row r="12" spans="2:13" ht="18.75" x14ac:dyDescent="0.25">
      <c r="B12" s="106" t="s">
        <v>122</v>
      </c>
      <c r="C12" s="107"/>
      <c r="D12" s="34">
        <v>11</v>
      </c>
      <c r="E12" s="35"/>
      <c r="I12" s="38"/>
      <c r="M12" s="38"/>
    </row>
    <row r="13" spans="2:13" ht="15" customHeight="1" x14ac:dyDescent="0.25">
      <c r="C13" s="33"/>
      <c r="E13" s="36"/>
      <c r="I13" s="38"/>
      <c r="M13" s="38"/>
    </row>
    <row r="14" spans="2:13" ht="21" x14ac:dyDescent="0.25">
      <c r="B14" s="37" t="s">
        <v>6</v>
      </c>
      <c r="C14" s="50">
        <v>8</v>
      </c>
      <c r="E14" s="38"/>
      <c r="F14" s="105" t="str">
        <f>IF(ISBLANK(D12),"",IF(D12&gt;D16,B12,B16))</f>
        <v>Дубовицкие</v>
      </c>
      <c r="G14" s="107"/>
      <c r="H14" s="34">
        <v>10</v>
      </c>
      <c r="I14" s="39"/>
      <c r="M14" s="38"/>
    </row>
    <row r="15" spans="2:13" ht="15" customHeight="1" x14ac:dyDescent="0.25">
      <c r="E15" s="38"/>
      <c r="M15" s="38"/>
    </row>
    <row r="16" spans="2:13" ht="18.75" x14ac:dyDescent="0.25">
      <c r="B16" s="106" t="s">
        <v>131</v>
      </c>
      <c r="C16" s="107"/>
      <c r="D16" s="34">
        <v>9</v>
      </c>
      <c r="E16" s="39"/>
      <c r="M16" s="38"/>
    </row>
    <row r="17" spans="2:15" ht="15" customHeight="1" x14ac:dyDescent="0.25">
      <c r="M17" s="38"/>
    </row>
    <row r="18" spans="2:15" ht="21" x14ac:dyDescent="0.25">
      <c r="B18" s="37"/>
      <c r="K18" s="37" t="s">
        <v>6</v>
      </c>
      <c r="L18" s="50" t="s">
        <v>106</v>
      </c>
      <c r="M18" s="38"/>
      <c r="N18" s="105" t="str">
        <f>IF(ISBLANK(L10),"",IF(L10&gt;L26,J10,J26))</f>
        <v>Комаровы</v>
      </c>
      <c r="O18" s="106"/>
    </row>
    <row r="19" spans="2:15" ht="15" customHeight="1" x14ac:dyDescent="0.25">
      <c r="M19" s="38"/>
    </row>
    <row r="20" spans="2:15" ht="18.75" x14ac:dyDescent="0.25">
      <c r="B20" s="106" t="s">
        <v>125</v>
      </c>
      <c r="C20" s="107"/>
      <c r="D20" s="34">
        <v>13</v>
      </c>
      <c r="E20" s="35"/>
      <c r="M20" s="38"/>
    </row>
    <row r="21" spans="2:15" ht="15" customHeight="1" x14ac:dyDescent="0.25">
      <c r="E21" s="36"/>
      <c r="M21" s="38"/>
    </row>
    <row r="22" spans="2:15" ht="21" x14ac:dyDescent="0.25">
      <c r="B22" s="37" t="s">
        <v>6</v>
      </c>
      <c r="C22" s="50">
        <v>1</v>
      </c>
      <c r="E22" s="38"/>
      <c r="F22" s="105" t="str">
        <f>IF(ISBLANK(D20),"",IF(D20&gt;D24,B20,B24))</f>
        <v>Петрушко</v>
      </c>
      <c r="G22" s="107"/>
      <c r="H22" s="34">
        <v>11</v>
      </c>
      <c r="I22" s="35"/>
      <c r="M22" s="38"/>
    </row>
    <row r="23" spans="2:15" ht="15" customHeight="1" x14ac:dyDescent="0.25">
      <c r="E23" s="38"/>
      <c r="I23" s="36"/>
      <c r="M23" s="38"/>
    </row>
    <row r="24" spans="2:15" ht="18.75" x14ac:dyDescent="0.25">
      <c r="B24" s="106" t="s">
        <v>152</v>
      </c>
      <c r="C24" s="107"/>
      <c r="D24" s="34">
        <v>6</v>
      </c>
      <c r="E24" s="39"/>
      <c r="I24" s="38"/>
      <c r="M24" s="38"/>
    </row>
    <row r="25" spans="2:15" ht="15" customHeight="1" x14ac:dyDescent="0.25">
      <c r="I25" s="38"/>
      <c r="M25" s="38"/>
    </row>
    <row r="26" spans="2:15" ht="21" x14ac:dyDescent="0.25">
      <c r="G26" s="37" t="s">
        <v>6</v>
      </c>
      <c r="H26" s="50" t="s">
        <v>107</v>
      </c>
      <c r="I26" s="38"/>
      <c r="J26" s="105" t="str">
        <f>IF(ISBLANK(H22),"",IF(H22&gt;H30,F22,F30))</f>
        <v>Комаровы</v>
      </c>
      <c r="K26" s="107"/>
      <c r="L26" s="34">
        <v>13</v>
      </c>
      <c r="M26" s="39"/>
    </row>
    <row r="27" spans="2:15" ht="15" customHeight="1" x14ac:dyDescent="0.25">
      <c r="I27" s="38"/>
    </row>
    <row r="28" spans="2:15" ht="18.75" x14ac:dyDescent="0.25">
      <c r="B28" s="106" t="s">
        <v>132</v>
      </c>
      <c r="C28" s="107"/>
      <c r="D28" s="34">
        <v>9</v>
      </c>
      <c r="E28" s="35"/>
      <c r="I28" s="38"/>
    </row>
    <row r="29" spans="2:15" ht="15" customHeight="1" x14ac:dyDescent="0.25">
      <c r="E29" s="36"/>
      <c r="I29" s="38"/>
    </row>
    <row r="30" spans="2:15" ht="21" x14ac:dyDescent="0.25">
      <c r="B30" s="37" t="s">
        <v>6</v>
      </c>
      <c r="C30" s="50">
        <v>2</v>
      </c>
      <c r="E30" s="38"/>
      <c r="F30" s="105" t="str">
        <f>IF(ISBLANK(D28),"",IF(D28&gt;D32,B28,B32))</f>
        <v>Комаровы</v>
      </c>
      <c r="G30" s="107"/>
      <c r="H30" s="34">
        <v>13</v>
      </c>
      <c r="I30" s="39"/>
    </row>
    <row r="31" spans="2:15" ht="15" customHeight="1" x14ac:dyDescent="0.25">
      <c r="E31" s="38"/>
    </row>
    <row r="32" spans="2:15" ht="18.75" x14ac:dyDescent="0.25">
      <c r="B32" s="106" t="s">
        <v>118</v>
      </c>
      <c r="C32" s="107"/>
      <c r="D32" s="34">
        <v>13</v>
      </c>
      <c r="E32" s="39"/>
    </row>
    <row r="36" spans="2:7" ht="18.75" x14ac:dyDescent="0.25">
      <c r="B36" s="106" t="str">
        <f>IF(ISBLANK(H6),"",IF(H6&gt;H14,F14,F6))</f>
        <v>Дубовицкие</v>
      </c>
      <c r="C36" s="107"/>
      <c r="D36" s="34">
        <v>13</v>
      </c>
      <c r="E36" s="35"/>
      <c r="F36" s="108"/>
      <c r="G36" s="108"/>
    </row>
    <row r="37" spans="2:7" ht="15" customHeight="1" x14ac:dyDescent="0.25">
      <c r="E37" s="36"/>
    </row>
    <row r="38" spans="2:7" ht="21" x14ac:dyDescent="0.25">
      <c r="C38" s="37" t="s">
        <v>6</v>
      </c>
      <c r="D38" s="53" t="s">
        <v>107</v>
      </c>
      <c r="E38" s="38"/>
      <c r="F38" s="105" t="str">
        <f>IF(ISBLANK(D36),"",IF(D36&gt;D40,B36,B40))</f>
        <v>Дубовицкие</v>
      </c>
      <c r="G38" s="106"/>
    </row>
    <row r="39" spans="2:7" ht="15" customHeight="1" x14ac:dyDescent="0.25">
      <c r="E39" s="38"/>
    </row>
    <row r="40" spans="2:7" ht="18.75" x14ac:dyDescent="0.25">
      <c r="B40" s="106" t="str">
        <f>IF(ISBLANK(H22),"",IF(H22&gt;H30,F30,F22))</f>
        <v>Петрушко</v>
      </c>
      <c r="C40" s="107"/>
      <c r="D40" s="34">
        <v>7</v>
      </c>
      <c r="E40" s="39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G45" sqref="G45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2" customWidth="1"/>
    <col min="14" max="15" width="10.28515625" customWidth="1"/>
  </cols>
  <sheetData>
    <row r="1" spans="2:14" ht="38.25" customHeight="1" x14ac:dyDescent="0.25">
      <c r="B1" s="71" t="s">
        <v>12</v>
      </c>
      <c r="C1" s="71"/>
      <c r="D1" s="71"/>
      <c r="E1" s="71"/>
      <c r="F1" s="71"/>
      <c r="G1" s="71"/>
      <c r="H1" s="71"/>
      <c r="I1" s="71"/>
      <c r="J1" s="71"/>
      <c r="K1" s="71"/>
      <c r="M1"/>
    </row>
    <row r="2" spans="2:14" ht="15.75" thickBot="1" x14ac:dyDescent="0.3">
      <c r="M2"/>
    </row>
    <row r="3" spans="2:14" ht="30" customHeight="1" thickBot="1" x14ac:dyDescent="0.3">
      <c r="B3" s="48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5">
        <v>6</v>
      </c>
      <c r="L3" s="42" t="s">
        <v>1</v>
      </c>
      <c r="M3" s="4" t="s">
        <v>2</v>
      </c>
      <c r="N3" s="43" t="s">
        <v>3</v>
      </c>
    </row>
    <row r="4" spans="2:14" ht="24" customHeight="1" x14ac:dyDescent="0.25">
      <c r="B4" s="75">
        <v>1</v>
      </c>
      <c r="C4" s="77" t="s">
        <v>114</v>
      </c>
      <c r="D4" s="78"/>
      <c r="E4" s="79"/>
      <c r="F4" s="7" t="s">
        <v>4</v>
      </c>
      <c r="G4" s="8" t="str">
        <f ca="1">INDIRECT(ADDRESS(27,6))&amp;":"&amp;INDIRECT(ADDRESS(27,7))</f>
        <v>6:11</v>
      </c>
      <c r="H4" s="8" t="str">
        <f ca="1">INDIRECT(ADDRESS(31,7))&amp;":"&amp;INDIRECT(ADDRESS(31,6))</f>
        <v>4:7</v>
      </c>
      <c r="I4" s="8" t="str">
        <f ca="1">INDIRECT(ADDRESS(36,6))&amp;":"&amp;INDIRECT(ADDRESS(36,7))</f>
        <v>13:5</v>
      </c>
      <c r="J4" s="8" t="str">
        <f ca="1">INDIRECT(ADDRESS(42,7))&amp;":"&amp;INDIRECT(ADDRESS(42,6))</f>
        <v>4:7</v>
      </c>
      <c r="K4" s="9" t="str">
        <f ca="1">INDIRECT(ADDRESS(20,6))&amp;":"&amp;INDIRECT(ADDRESS(20,7))</f>
        <v>5:7</v>
      </c>
      <c r="L4" s="99">
        <f ca="1">IF(COUNT(F5:K5)=0,"",COUNTIF(F5:K5,"&gt;0")+0.5*COUNTIF(F5:K5,0))</f>
        <v>1</v>
      </c>
      <c r="M4" s="10"/>
      <c r="N4" s="97">
        <v>5</v>
      </c>
    </row>
    <row r="5" spans="2:14" ht="24" customHeight="1" x14ac:dyDescent="0.25">
      <c r="B5" s="76"/>
      <c r="C5" s="80"/>
      <c r="D5" s="81"/>
      <c r="E5" s="82"/>
      <c r="F5" s="11" t="s">
        <v>4</v>
      </c>
      <c r="G5" s="12">
        <f ca="1">IF(LEN(INDIRECT(ADDRESS(ROW()-1, COLUMN())))=1,"",INDIRECT(ADDRESS(27,6))-INDIRECT(ADDRESS(27,7)))</f>
        <v>-5</v>
      </c>
      <c r="H5" s="12">
        <f ca="1">IF(LEN(INDIRECT(ADDRESS(ROW()-1, COLUMN())))=1,"",INDIRECT(ADDRESS(31,7))-INDIRECT(ADDRESS(31,6)))</f>
        <v>-3</v>
      </c>
      <c r="I5" s="12">
        <f ca="1">IF(LEN(INDIRECT(ADDRESS(ROW()-1, COLUMN())))=1,"",INDIRECT(ADDRESS(36,6))-INDIRECT(ADDRESS(36,7)))</f>
        <v>8</v>
      </c>
      <c r="J5" s="12">
        <f ca="1">IF(LEN(INDIRECT(ADDRESS(ROW()-1, COLUMN())))=1,"",INDIRECT(ADDRESS(42,7))-INDIRECT(ADDRESS(42,6)))</f>
        <v>-3</v>
      </c>
      <c r="K5" s="13">
        <f ca="1">IF(LEN(INDIRECT(ADDRESS(ROW()-1, COLUMN())))=1,"",INDIRECT(ADDRESS(20,6))-INDIRECT(ADDRESS(20,7)))</f>
        <v>-2</v>
      </c>
      <c r="L5" s="100"/>
      <c r="M5" s="12">
        <f ca="1">IF(COUNT(F5:K5)=0,"",SUM(F5:K5))</f>
        <v>-5</v>
      </c>
      <c r="N5" s="98"/>
    </row>
    <row r="6" spans="2:14" ht="24" customHeight="1" x14ac:dyDescent="0.25">
      <c r="B6" s="87">
        <v>2</v>
      </c>
      <c r="C6" s="80" t="s">
        <v>115</v>
      </c>
      <c r="D6" s="81"/>
      <c r="E6" s="82"/>
      <c r="F6" s="14" t="str">
        <f ca="1">INDIRECT(ADDRESS(27,7))&amp;":"&amp;INDIRECT(ADDRESS(27,6))</f>
        <v>11:6</v>
      </c>
      <c r="G6" s="15" t="s">
        <v>4</v>
      </c>
      <c r="H6" s="16" t="str">
        <f ca="1">INDIRECT(ADDRESS(37,6))&amp;":"&amp;INDIRECT(ADDRESS(37,7))</f>
        <v>9:13</v>
      </c>
      <c r="I6" s="16" t="str">
        <f ca="1">INDIRECT(ADDRESS(41,7))&amp;":"&amp;INDIRECT(ADDRESS(41,6))</f>
        <v>13:4</v>
      </c>
      <c r="J6" s="16" t="str">
        <f ca="1">INDIRECT(ADDRESS(21,6))&amp;":"&amp;INDIRECT(ADDRESS(21,7))</f>
        <v>2:13</v>
      </c>
      <c r="K6" s="17" t="str">
        <f ca="1">INDIRECT(ADDRESS(30,6))&amp;":"&amp;INDIRECT(ADDRESS(30,7))</f>
        <v>8:11</v>
      </c>
      <c r="L6" s="100">
        <f ca="1">IF(COUNT(F7:K7)=0,"",COUNTIF(F7:K7,"&gt;0")+0.5*COUNTIF(F7:K7,0))</f>
        <v>2</v>
      </c>
      <c r="M6" s="12"/>
      <c r="N6" s="101">
        <v>4</v>
      </c>
    </row>
    <row r="7" spans="2:14" ht="24" customHeight="1" x14ac:dyDescent="0.25">
      <c r="B7" s="76"/>
      <c r="C7" s="80"/>
      <c r="D7" s="81"/>
      <c r="E7" s="82"/>
      <c r="F7" s="18">
        <f ca="1">IF(LEN(INDIRECT(ADDRESS(ROW()-1, COLUMN())))=1,"",INDIRECT(ADDRESS(27,7))-INDIRECT(ADDRESS(27,6)))</f>
        <v>5</v>
      </c>
      <c r="G7" s="19" t="s">
        <v>4</v>
      </c>
      <c r="H7" s="12">
        <f ca="1">IF(LEN(INDIRECT(ADDRESS(ROW()-1, COLUMN())))=1,"",INDIRECT(ADDRESS(37,6))-INDIRECT(ADDRESS(37,7)))</f>
        <v>-4</v>
      </c>
      <c r="I7" s="12">
        <f ca="1">IF(LEN(INDIRECT(ADDRESS(ROW()-1, COLUMN())))=1,"",INDIRECT(ADDRESS(41,7))-INDIRECT(ADDRESS(41,6)))</f>
        <v>9</v>
      </c>
      <c r="J7" s="12">
        <f ca="1">IF(LEN(INDIRECT(ADDRESS(ROW()-1, COLUMN())))=1,"",INDIRECT(ADDRESS(21,6))-INDIRECT(ADDRESS(21,7)))</f>
        <v>-11</v>
      </c>
      <c r="K7" s="13">
        <f ca="1">IF(LEN(INDIRECT(ADDRESS(ROW()-1, COLUMN())))=1,"",INDIRECT(ADDRESS(30,6))-INDIRECT(ADDRESS(30,7)))</f>
        <v>-3</v>
      </c>
      <c r="L7" s="100"/>
      <c r="M7" s="12">
        <f ca="1">IF(COUNT(F7:K7)=0,"",SUM(F7:K7))</f>
        <v>-4</v>
      </c>
      <c r="N7" s="98"/>
    </row>
    <row r="8" spans="2:14" ht="24" customHeight="1" x14ac:dyDescent="0.25">
      <c r="B8" s="87">
        <v>3</v>
      </c>
      <c r="C8" s="116" t="s">
        <v>116</v>
      </c>
      <c r="D8" s="117"/>
      <c r="E8" s="118"/>
      <c r="F8" s="14" t="str">
        <f ca="1">INDIRECT(ADDRESS(31,6))&amp;":"&amp;INDIRECT(ADDRESS(31,7))</f>
        <v>7:4</v>
      </c>
      <c r="G8" s="16" t="str">
        <f ca="1">INDIRECT(ADDRESS(37,7))&amp;":"&amp;INDIRECT(ADDRESS(37,6))</f>
        <v>13:9</v>
      </c>
      <c r="H8" s="15" t="s">
        <v>4</v>
      </c>
      <c r="I8" s="16" t="str">
        <f ca="1">INDIRECT(ADDRESS(22,6))&amp;":"&amp;INDIRECT(ADDRESS(22,7))</f>
        <v>3:13</v>
      </c>
      <c r="J8" s="16" t="str">
        <f ca="1">INDIRECT(ADDRESS(26,7))&amp;":"&amp;INDIRECT(ADDRESS(26,6))</f>
        <v>10:12</v>
      </c>
      <c r="K8" s="17" t="str">
        <f ca="1">INDIRECT(ADDRESS(40,6))&amp;":"&amp;INDIRECT(ADDRESS(40,7))</f>
        <v>8:3</v>
      </c>
      <c r="L8" s="100">
        <f ca="1">IF(COUNT(F9:K9)=0,"",COUNTIF(F9:K9,"&gt;0")+0.5*COUNTIF(F9:K9,0))</f>
        <v>3</v>
      </c>
      <c r="M8" s="12"/>
      <c r="N8" s="101">
        <v>3</v>
      </c>
    </row>
    <row r="9" spans="2:14" ht="24" customHeight="1" x14ac:dyDescent="0.25">
      <c r="B9" s="76"/>
      <c r="C9" s="116"/>
      <c r="D9" s="117"/>
      <c r="E9" s="118"/>
      <c r="F9" s="18">
        <f ca="1">IF(LEN(INDIRECT(ADDRESS(ROW()-1, COLUMN())))=1,"",INDIRECT(ADDRESS(31,6))-INDIRECT(ADDRESS(31,7)))</f>
        <v>3</v>
      </c>
      <c r="G9" s="12">
        <f ca="1">IF(LEN(INDIRECT(ADDRESS(ROW()-1, COLUMN())))=1,"",INDIRECT(ADDRESS(37,7))-INDIRECT(ADDRESS(37,6)))</f>
        <v>4</v>
      </c>
      <c r="H9" s="19" t="s">
        <v>4</v>
      </c>
      <c r="I9" s="12">
        <f ca="1">IF(LEN(INDIRECT(ADDRESS(ROW()-1, COLUMN())))=1,"",INDIRECT(ADDRESS(22,6))-INDIRECT(ADDRESS(22,7)))</f>
        <v>-10</v>
      </c>
      <c r="J9" s="12">
        <f ca="1">IF(LEN(INDIRECT(ADDRESS(ROW()-1, COLUMN())))=1,"",INDIRECT(ADDRESS(26,7))-INDIRECT(ADDRESS(26,6)))</f>
        <v>-2</v>
      </c>
      <c r="K9" s="13">
        <f ca="1">IF(LEN(INDIRECT(ADDRESS(ROW()-1, COLUMN())))=1,"",INDIRECT(ADDRESS(40,6))-INDIRECT(ADDRESS(40,7)))</f>
        <v>5</v>
      </c>
      <c r="L9" s="100"/>
      <c r="M9" s="12">
        <f ca="1">IF(COUNT(F9:K9)=0,"",SUM(F9:K9))</f>
        <v>0</v>
      </c>
      <c r="N9" s="98"/>
    </row>
    <row r="10" spans="2:14" ht="24" customHeight="1" x14ac:dyDescent="0.25">
      <c r="B10" s="87">
        <v>4</v>
      </c>
      <c r="C10" s="80" t="s">
        <v>117</v>
      </c>
      <c r="D10" s="81"/>
      <c r="E10" s="82"/>
      <c r="F10" s="14" t="str">
        <f ca="1">INDIRECT(ADDRESS(36,7))&amp;":"&amp;INDIRECT(ADDRESS(36,6))</f>
        <v>5:13</v>
      </c>
      <c r="G10" s="16" t="str">
        <f ca="1">INDIRECT(ADDRESS(41,6))&amp;":"&amp;INDIRECT(ADDRESS(41,7))</f>
        <v>4:13</v>
      </c>
      <c r="H10" s="16" t="str">
        <f ca="1">INDIRECT(ADDRESS(22,7))&amp;":"&amp;INDIRECT(ADDRESS(22,6))</f>
        <v>13:3</v>
      </c>
      <c r="I10" s="15" t="s">
        <v>4</v>
      </c>
      <c r="J10" s="16" t="str">
        <f ca="1">INDIRECT(ADDRESS(32,6))&amp;":"&amp;INDIRECT(ADDRESS(32,7))</f>
        <v>12:13</v>
      </c>
      <c r="K10" s="17" t="str">
        <f ca="1">INDIRECT(ADDRESS(25,7))&amp;":"&amp;INDIRECT(ADDRESS(25,6))</f>
        <v>9:13</v>
      </c>
      <c r="L10" s="100">
        <f ca="1">IF(COUNT(F11:K11)=0,"",COUNTIF(F11:K11,"&gt;0")+0.5*COUNTIF(F11:K11,0))</f>
        <v>1</v>
      </c>
      <c r="M10" s="12"/>
      <c r="N10" s="101">
        <v>6</v>
      </c>
    </row>
    <row r="11" spans="2:14" ht="24" customHeight="1" x14ac:dyDescent="0.25">
      <c r="B11" s="76"/>
      <c r="C11" s="80"/>
      <c r="D11" s="81"/>
      <c r="E11" s="82"/>
      <c r="F11" s="18">
        <f ca="1">IF(LEN(INDIRECT(ADDRESS(ROW()-1, COLUMN())))=1,"",INDIRECT(ADDRESS(36,7))-INDIRECT(ADDRESS(36,6)))</f>
        <v>-8</v>
      </c>
      <c r="G11" s="12">
        <f ca="1">IF(LEN(INDIRECT(ADDRESS(ROW()-1, COLUMN())))=1,"",INDIRECT(ADDRESS(41,6))-INDIRECT(ADDRESS(41,7)))</f>
        <v>-9</v>
      </c>
      <c r="H11" s="12">
        <f ca="1">IF(LEN(INDIRECT(ADDRESS(ROW()-1, COLUMN())))=1,"",INDIRECT(ADDRESS(22,7))-INDIRECT(ADDRESS(22,6)))</f>
        <v>10</v>
      </c>
      <c r="I11" s="19" t="s">
        <v>4</v>
      </c>
      <c r="J11" s="12">
        <f ca="1">IF(LEN(INDIRECT(ADDRESS(ROW()-1, COLUMN())))=1,"",INDIRECT(ADDRESS(32,6))-INDIRECT(ADDRESS(32,7)))</f>
        <v>-1</v>
      </c>
      <c r="K11" s="13">
        <f ca="1">IF(LEN(INDIRECT(ADDRESS(ROW()-1, COLUMN())))=1,"",INDIRECT(ADDRESS(25,7))-INDIRECT(ADDRESS(25,6)))</f>
        <v>-4</v>
      </c>
      <c r="L11" s="100"/>
      <c r="M11" s="12">
        <f ca="1">IF(COUNT(F11:K11)=0,"",SUM(F11:K11))</f>
        <v>-12</v>
      </c>
      <c r="N11" s="98"/>
    </row>
    <row r="12" spans="2:14" ht="24" customHeight="1" x14ac:dyDescent="0.25">
      <c r="B12" s="87">
        <v>5</v>
      </c>
      <c r="C12" s="110" t="s">
        <v>118</v>
      </c>
      <c r="D12" s="111"/>
      <c r="E12" s="112"/>
      <c r="F12" s="14" t="str">
        <f ca="1">INDIRECT(ADDRESS(42,6))&amp;":"&amp;INDIRECT(ADDRESS(42,7))</f>
        <v>7:4</v>
      </c>
      <c r="G12" s="16" t="str">
        <f ca="1">INDIRECT(ADDRESS(21,7))&amp;":"&amp;INDIRECT(ADDRESS(21,6))</f>
        <v>13:2</v>
      </c>
      <c r="H12" s="16" t="str">
        <f ca="1">INDIRECT(ADDRESS(26,6))&amp;":"&amp;INDIRECT(ADDRESS(26,7))</f>
        <v>12:10</v>
      </c>
      <c r="I12" s="16" t="str">
        <f ca="1">INDIRECT(ADDRESS(32,7))&amp;":"&amp;INDIRECT(ADDRESS(32,6))</f>
        <v>13:12</v>
      </c>
      <c r="J12" s="15" t="s">
        <v>4</v>
      </c>
      <c r="K12" s="17" t="str">
        <f ca="1">INDIRECT(ADDRESS(35,7))&amp;":"&amp;INDIRECT(ADDRESS(35,6))</f>
        <v>6:13</v>
      </c>
      <c r="L12" s="100">
        <f ca="1">IF(COUNT(F13:K13)=0,"",COUNTIF(F13:K13,"&gt;0")+0.5*COUNTIF(F13:K13,0))</f>
        <v>4</v>
      </c>
      <c r="M12" s="12"/>
      <c r="N12" s="101">
        <v>2</v>
      </c>
    </row>
    <row r="13" spans="2:14" ht="24" customHeight="1" x14ac:dyDescent="0.25">
      <c r="B13" s="76"/>
      <c r="C13" s="110"/>
      <c r="D13" s="111"/>
      <c r="E13" s="112"/>
      <c r="F13" s="18">
        <f ca="1">IF(LEN(INDIRECT(ADDRESS(ROW()-1, COLUMN())))=1,"",INDIRECT(ADDRESS(42,6))-INDIRECT(ADDRESS(42,7)))</f>
        <v>3</v>
      </c>
      <c r="G13" s="12">
        <f ca="1">IF(LEN(INDIRECT(ADDRESS(ROW()-1, COLUMN())))=1,"",INDIRECT(ADDRESS(21,7))-INDIRECT(ADDRESS(21,6)))</f>
        <v>11</v>
      </c>
      <c r="H13" s="12">
        <f ca="1">IF(LEN(INDIRECT(ADDRESS(ROW()-1, COLUMN())))=1,"",INDIRECT(ADDRESS(26,6))-INDIRECT(ADDRESS(26,7)))</f>
        <v>2</v>
      </c>
      <c r="I13" s="12">
        <f ca="1">IF(LEN(INDIRECT(ADDRESS(ROW()-1, COLUMN())))=1,"",INDIRECT(ADDRESS(32,7))-INDIRECT(ADDRESS(32,6)))</f>
        <v>1</v>
      </c>
      <c r="J13" s="19" t="s">
        <v>4</v>
      </c>
      <c r="K13" s="13">
        <f ca="1">IF(LEN(INDIRECT(ADDRESS(ROW()-1, COLUMN())))=1,"",INDIRECT(ADDRESS(35,7))-INDIRECT(ADDRESS(35,6)))</f>
        <v>-7</v>
      </c>
      <c r="L13" s="100"/>
      <c r="M13" s="12">
        <f ca="1">IF(COUNT(F13:K13)=0,"",SUM(F13:K13))</f>
        <v>10</v>
      </c>
      <c r="N13" s="98"/>
    </row>
    <row r="14" spans="2:14" ht="24" customHeight="1" x14ac:dyDescent="0.25">
      <c r="B14" s="87">
        <v>6</v>
      </c>
      <c r="C14" s="110" t="s">
        <v>119</v>
      </c>
      <c r="D14" s="111"/>
      <c r="E14" s="112"/>
      <c r="F14" s="14" t="str">
        <f ca="1">INDIRECT(ADDRESS(20,7))&amp;":"&amp;INDIRECT(ADDRESS(20,6))</f>
        <v>7:5</v>
      </c>
      <c r="G14" s="16" t="str">
        <f ca="1">INDIRECT(ADDRESS(30,7))&amp;":"&amp;INDIRECT(ADDRESS(30,6))</f>
        <v>11:8</v>
      </c>
      <c r="H14" s="16" t="str">
        <f ca="1">INDIRECT(ADDRESS(40,7))&amp;":"&amp;INDIRECT(ADDRESS(40,6))</f>
        <v>3:8</v>
      </c>
      <c r="I14" s="16" t="str">
        <f ca="1">INDIRECT(ADDRESS(25,6))&amp;":"&amp;INDIRECT(ADDRESS(25,7))</f>
        <v>13:9</v>
      </c>
      <c r="J14" s="16" t="str">
        <f ca="1">INDIRECT(ADDRESS(35,6))&amp;":"&amp;INDIRECT(ADDRESS(35,7))</f>
        <v>13:6</v>
      </c>
      <c r="K14" s="20" t="s">
        <v>4</v>
      </c>
      <c r="L14" s="100">
        <f ca="1">IF(COUNT(F15:K15)=0,"",COUNTIF(F15:K15,"&gt;0")+0.5*COUNTIF(F15:K15,0))</f>
        <v>4</v>
      </c>
      <c r="M14" s="12"/>
      <c r="N14" s="101">
        <v>1</v>
      </c>
    </row>
    <row r="15" spans="2:14" ht="24" customHeight="1" thickBot="1" x14ac:dyDescent="0.3">
      <c r="B15" s="88"/>
      <c r="C15" s="113"/>
      <c r="D15" s="114"/>
      <c r="E15" s="115"/>
      <c r="F15" s="21">
        <f ca="1">IF(LEN(INDIRECT(ADDRESS(ROW()-1, COLUMN())))=1,"",INDIRECT(ADDRESS(20,7))-INDIRECT(ADDRESS(20,6)))</f>
        <v>2</v>
      </c>
      <c r="G15" s="22">
        <f ca="1">IF(LEN(INDIRECT(ADDRESS(ROW()-1, COLUMN())))=1,"",INDIRECT(ADDRESS(30,7))-INDIRECT(ADDRESS(30,6)))</f>
        <v>3</v>
      </c>
      <c r="H15" s="22">
        <f ca="1">IF(LEN(INDIRECT(ADDRESS(ROW()-1, COLUMN())))=1,"",INDIRECT(ADDRESS(40,7))-INDIRECT(ADDRESS(40,6)))</f>
        <v>-5</v>
      </c>
      <c r="I15" s="22">
        <f ca="1">IF(LEN(INDIRECT(ADDRESS(ROW()-1, COLUMN())))=1,"",INDIRECT(ADDRESS(25,6))-INDIRECT(ADDRESS(25,7)))</f>
        <v>4</v>
      </c>
      <c r="J15" s="22">
        <f ca="1">IF(LEN(INDIRECT(ADDRESS(ROW()-1, COLUMN())))=1,"",INDIRECT(ADDRESS(35,6))-INDIRECT(ADDRESS(35,7)))</f>
        <v>7</v>
      </c>
      <c r="K15" s="23" t="s">
        <v>4</v>
      </c>
      <c r="L15" s="103"/>
      <c r="M15" s="22">
        <f ca="1">IF(COUNT(F15:K15)=0,"",SUM(F15:K15))</f>
        <v>11</v>
      </c>
      <c r="N15" s="10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5" customFormat="1" ht="30" customHeight="1" thickBot="1" x14ac:dyDescent="0.4">
      <c r="A19" s="24"/>
      <c r="B19" s="70" t="s">
        <v>5</v>
      </c>
      <c r="C19" s="70"/>
      <c r="D19" s="70"/>
      <c r="E19" s="70"/>
      <c r="F19" s="70"/>
      <c r="G19" s="70"/>
      <c r="H19" s="70"/>
      <c r="I19" s="70"/>
      <c r="J19" s="70"/>
      <c r="K19" s="70"/>
    </row>
    <row r="20" spans="1:13" s="25" customFormat="1" ht="30" customHeight="1" thickBot="1" x14ac:dyDescent="0.4">
      <c r="A20" s="24"/>
      <c r="B20" s="26">
        <v>1</v>
      </c>
      <c r="C20" s="84" t="str">
        <f ca="1">IF(ISBLANK(INDIRECT(ADDRESS(B20*2+2,3))),"",INDIRECT(ADDRESS(B20*2+2,3)))</f>
        <v>Поляковы</v>
      </c>
      <c r="D20" s="84"/>
      <c r="E20" s="85"/>
      <c r="F20" s="27">
        <v>5</v>
      </c>
      <c r="G20" s="28">
        <v>7</v>
      </c>
      <c r="H20" s="86" t="str">
        <f ca="1">IF(ISBLANK(INDIRECT(ADDRESS(K20*2+2,3))),"",INDIRECT(ADDRESS(K20*2+2,3)))</f>
        <v>Савченко, Колесников</v>
      </c>
      <c r="I20" s="84"/>
      <c r="J20" s="84"/>
      <c r="K20" s="26">
        <v>6</v>
      </c>
      <c r="L20" s="29" t="s">
        <v>6</v>
      </c>
      <c r="M20" s="47">
        <v>1</v>
      </c>
    </row>
    <row r="21" spans="1:13" s="25" customFormat="1" ht="30" customHeight="1" thickBot="1" x14ac:dyDescent="0.4">
      <c r="A21" s="24"/>
      <c r="B21" s="26">
        <v>2</v>
      </c>
      <c r="C21" s="84" t="str">
        <f ca="1">IF(ISBLANK(INDIRECT(ADDRESS(B21*2+2,3))),"",INDIRECT(ADDRESS(B21*2+2,3)))</f>
        <v>Агаповы</v>
      </c>
      <c r="D21" s="84"/>
      <c r="E21" s="85"/>
      <c r="F21" s="27">
        <v>2</v>
      </c>
      <c r="G21" s="28">
        <v>13</v>
      </c>
      <c r="H21" s="86" t="str">
        <f ca="1">IF(ISBLANK(INDIRECT(ADDRESS(K21*2+2,3))),"",INDIRECT(ADDRESS(K21*2+2,3)))</f>
        <v>Комаровы</v>
      </c>
      <c r="I21" s="84"/>
      <c r="J21" s="84"/>
      <c r="K21" s="26">
        <v>5</v>
      </c>
      <c r="L21" s="29" t="s">
        <v>6</v>
      </c>
      <c r="M21" s="47">
        <v>2</v>
      </c>
    </row>
    <row r="22" spans="1:13" s="25" customFormat="1" ht="30" customHeight="1" thickBot="1" x14ac:dyDescent="0.4">
      <c r="A22" s="24"/>
      <c r="B22" s="26">
        <v>3</v>
      </c>
      <c r="C22" s="84" t="str">
        <f ca="1">IF(ISBLANK(INDIRECT(ADDRESS(B22*2+2,3))),"",INDIRECT(ADDRESS(B22*2+2,3)))</f>
        <v>Скляр, Лютиков</v>
      </c>
      <c r="D22" s="84"/>
      <c r="E22" s="85"/>
      <c r="F22" s="27">
        <v>3</v>
      </c>
      <c r="G22" s="28">
        <v>13</v>
      </c>
      <c r="H22" s="86" t="str">
        <f ca="1">IF(ISBLANK(INDIRECT(ADDRESS(K22*2+2,3))),"",INDIRECT(ADDRESS(K22*2+2,3)))</f>
        <v>Панова, Котов</v>
      </c>
      <c r="I22" s="84"/>
      <c r="J22" s="84"/>
      <c r="K22" s="26">
        <v>4</v>
      </c>
      <c r="L22" s="29" t="s">
        <v>6</v>
      </c>
      <c r="M22" s="47">
        <v>3</v>
      </c>
    </row>
    <row r="23" spans="1:13" s="25" customFormat="1" ht="30" customHeight="1" x14ac:dyDescent="0.35">
      <c r="A23" s="24"/>
      <c r="M23" s="30"/>
    </row>
    <row r="24" spans="1:13" s="25" customFormat="1" ht="30" customHeight="1" thickBot="1" x14ac:dyDescent="0.4">
      <c r="A24" s="24"/>
      <c r="B24" s="70" t="s">
        <v>7</v>
      </c>
      <c r="C24" s="70"/>
      <c r="D24" s="70"/>
      <c r="E24" s="70"/>
      <c r="F24" s="70"/>
      <c r="G24" s="70"/>
      <c r="H24" s="70"/>
      <c r="I24" s="70"/>
      <c r="J24" s="70"/>
      <c r="K24" s="70"/>
      <c r="M24" s="30"/>
    </row>
    <row r="25" spans="1:13" s="25" customFormat="1" ht="30" customHeight="1" thickBot="1" x14ac:dyDescent="0.4">
      <c r="A25" s="24"/>
      <c r="B25" s="26">
        <v>6</v>
      </c>
      <c r="C25" s="84" t="str">
        <f ca="1">IF(ISBLANK(INDIRECT(ADDRESS(B25*2+2,3))),"",INDIRECT(ADDRESS(B25*2+2,3)))</f>
        <v>Савченко, Колесников</v>
      </c>
      <c r="D25" s="84"/>
      <c r="E25" s="85"/>
      <c r="F25" s="27">
        <v>13</v>
      </c>
      <c r="G25" s="28">
        <v>9</v>
      </c>
      <c r="H25" s="86" t="str">
        <f ca="1">IF(ISBLANK(INDIRECT(ADDRESS(K25*2+2,3))),"",INDIRECT(ADDRESS(K25*2+2,3)))</f>
        <v>Панова, Котов</v>
      </c>
      <c r="I25" s="84"/>
      <c r="J25" s="84"/>
      <c r="K25" s="26">
        <v>4</v>
      </c>
      <c r="L25" s="29" t="s">
        <v>6</v>
      </c>
      <c r="M25" s="47">
        <v>5</v>
      </c>
    </row>
    <row r="26" spans="1:13" s="25" customFormat="1" ht="30" customHeight="1" thickBot="1" x14ac:dyDescent="0.4">
      <c r="A26" s="24"/>
      <c r="B26" s="26">
        <v>5</v>
      </c>
      <c r="C26" s="84" t="str">
        <f ca="1">IF(ISBLANK(INDIRECT(ADDRESS(B26*2+2,3))),"",INDIRECT(ADDRESS(B26*2+2,3)))</f>
        <v>Комаровы</v>
      </c>
      <c r="D26" s="84"/>
      <c r="E26" s="85"/>
      <c r="F26" s="27">
        <v>12</v>
      </c>
      <c r="G26" s="28">
        <v>10</v>
      </c>
      <c r="H26" s="86" t="str">
        <f ca="1">IF(ISBLANK(INDIRECT(ADDRESS(K26*2+2,3))),"",INDIRECT(ADDRESS(K26*2+2,3)))</f>
        <v>Скляр, Лютиков</v>
      </c>
      <c r="I26" s="84"/>
      <c r="J26" s="84"/>
      <c r="K26" s="26">
        <v>3</v>
      </c>
      <c r="L26" s="29" t="s">
        <v>6</v>
      </c>
      <c r="M26" s="47">
        <v>6</v>
      </c>
    </row>
    <row r="27" spans="1:13" s="25" customFormat="1" ht="30" customHeight="1" thickBot="1" x14ac:dyDescent="0.4">
      <c r="A27" s="24"/>
      <c r="B27" s="26">
        <v>1</v>
      </c>
      <c r="C27" s="84" t="str">
        <f ca="1">IF(ISBLANK(INDIRECT(ADDRESS(B27*2+2,3))),"",INDIRECT(ADDRESS(B27*2+2,3)))</f>
        <v>Поляковы</v>
      </c>
      <c r="D27" s="84"/>
      <c r="E27" s="85"/>
      <c r="F27" s="27">
        <v>6</v>
      </c>
      <c r="G27" s="28">
        <v>11</v>
      </c>
      <c r="H27" s="86" t="str">
        <f ca="1">IF(ISBLANK(INDIRECT(ADDRESS(K27*2+2,3))),"",INDIRECT(ADDRESS(K27*2+2,3)))</f>
        <v>Агаповы</v>
      </c>
      <c r="I27" s="84"/>
      <c r="J27" s="84"/>
      <c r="K27" s="26">
        <v>2</v>
      </c>
      <c r="L27" s="29" t="s">
        <v>6</v>
      </c>
      <c r="M27" s="47">
        <v>7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8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2</v>
      </c>
      <c r="C30" s="84" t="str">
        <f ca="1">IF(ISBLANK(INDIRECT(ADDRESS(B30*2+2,3))),"",INDIRECT(ADDRESS(B30*2+2,3)))</f>
        <v>Агаповы</v>
      </c>
      <c r="D30" s="84"/>
      <c r="E30" s="85"/>
      <c r="F30" s="27">
        <v>8</v>
      </c>
      <c r="G30" s="28">
        <v>11</v>
      </c>
      <c r="H30" s="86" t="str">
        <f ca="1">IF(ISBLANK(INDIRECT(ADDRESS(K30*2+2,3))),"",INDIRECT(ADDRESS(K30*2+2,3)))</f>
        <v>Савченко, Колесников</v>
      </c>
      <c r="I30" s="84"/>
      <c r="J30" s="84"/>
      <c r="K30" s="26">
        <v>6</v>
      </c>
      <c r="L30" s="29" t="s">
        <v>6</v>
      </c>
      <c r="M30" s="47">
        <v>9</v>
      </c>
    </row>
    <row r="31" spans="1:13" s="25" customFormat="1" ht="30" customHeight="1" thickBot="1" x14ac:dyDescent="0.4">
      <c r="A31" s="24"/>
      <c r="B31" s="26">
        <v>3</v>
      </c>
      <c r="C31" s="84" t="str">
        <f ca="1">IF(ISBLANK(INDIRECT(ADDRESS(B31*2+2,3))),"",INDIRECT(ADDRESS(B31*2+2,3)))</f>
        <v>Скляр, Лютиков</v>
      </c>
      <c r="D31" s="84"/>
      <c r="E31" s="85"/>
      <c r="F31" s="27">
        <v>7</v>
      </c>
      <c r="G31" s="28">
        <v>4</v>
      </c>
      <c r="H31" s="86" t="str">
        <f ca="1">IF(ISBLANK(INDIRECT(ADDRESS(K31*2+2,3))),"",INDIRECT(ADDRESS(K31*2+2,3)))</f>
        <v>Поляковы</v>
      </c>
      <c r="I31" s="84"/>
      <c r="J31" s="84"/>
      <c r="K31" s="26">
        <v>1</v>
      </c>
      <c r="L31" s="29" t="s">
        <v>6</v>
      </c>
      <c r="M31" s="47">
        <v>10</v>
      </c>
    </row>
    <row r="32" spans="1:13" s="25" customFormat="1" ht="30" customHeight="1" thickBot="1" x14ac:dyDescent="0.4">
      <c r="A32" s="24"/>
      <c r="B32" s="26">
        <v>4</v>
      </c>
      <c r="C32" s="84" t="str">
        <f ca="1">IF(ISBLANK(INDIRECT(ADDRESS(B32*2+2,3))),"",INDIRECT(ADDRESS(B32*2+2,3)))</f>
        <v>Панова, Котов</v>
      </c>
      <c r="D32" s="84"/>
      <c r="E32" s="85"/>
      <c r="F32" s="27">
        <v>12</v>
      </c>
      <c r="G32" s="28">
        <v>13</v>
      </c>
      <c r="H32" s="86" t="str">
        <f ca="1">IF(ISBLANK(INDIRECT(ADDRESS(K32*2+2,3))),"",INDIRECT(ADDRESS(K32*2+2,3)))</f>
        <v>Комаровы</v>
      </c>
      <c r="I32" s="84"/>
      <c r="J32" s="84"/>
      <c r="K32" s="26">
        <v>5</v>
      </c>
      <c r="L32" s="29" t="s">
        <v>6</v>
      </c>
      <c r="M32" s="47">
        <v>1</v>
      </c>
    </row>
    <row r="33" spans="1:13" s="25" customFormat="1" ht="30" customHeight="1" x14ac:dyDescent="0.35">
      <c r="A33" s="24"/>
      <c r="M33" s="30"/>
    </row>
    <row r="34" spans="1:13" s="25" customFormat="1" ht="30" customHeight="1" thickBot="1" x14ac:dyDescent="0.4">
      <c r="A34" s="24"/>
      <c r="B34" s="70" t="s">
        <v>10</v>
      </c>
      <c r="C34" s="70"/>
      <c r="D34" s="70"/>
      <c r="E34" s="70"/>
      <c r="F34" s="70"/>
      <c r="G34" s="70"/>
      <c r="H34" s="70"/>
      <c r="I34" s="70"/>
      <c r="J34" s="70"/>
      <c r="K34" s="70"/>
      <c r="M34" s="30"/>
    </row>
    <row r="35" spans="1:13" s="25" customFormat="1" ht="30" customHeight="1" thickBot="1" x14ac:dyDescent="0.4">
      <c r="A35" s="24"/>
      <c r="B35" s="26">
        <v>6</v>
      </c>
      <c r="C35" s="84" t="str">
        <f ca="1">IF(ISBLANK(INDIRECT(ADDRESS(B35*2+2,3))),"",INDIRECT(ADDRESS(B35*2+2,3)))</f>
        <v>Савченко, Колесников</v>
      </c>
      <c r="D35" s="84"/>
      <c r="E35" s="85"/>
      <c r="F35" s="27">
        <v>13</v>
      </c>
      <c r="G35" s="28">
        <v>6</v>
      </c>
      <c r="H35" s="86" t="str">
        <f ca="1">IF(ISBLANK(INDIRECT(ADDRESS(K35*2+2,3))),"",INDIRECT(ADDRESS(K35*2+2,3)))</f>
        <v>Комаровы</v>
      </c>
      <c r="I35" s="84"/>
      <c r="J35" s="84"/>
      <c r="K35" s="26">
        <v>5</v>
      </c>
      <c r="L35" s="29" t="s">
        <v>6</v>
      </c>
      <c r="M35" s="47">
        <v>3</v>
      </c>
    </row>
    <row r="36" spans="1:13" s="25" customFormat="1" ht="30" customHeight="1" thickBot="1" x14ac:dyDescent="0.4">
      <c r="A36" s="24"/>
      <c r="B36" s="26">
        <v>1</v>
      </c>
      <c r="C36" s="84" t="str">
        <f ca="1">IF(ISBLANK(INDIRECT(ADDRESS(B36*2+2,3))),"",INDIRECT(ADDRESS(B36*2+2,3)))</f>
        <v>Поляковы</v>
      </c>
      <c r="D36" s="84"/>
      <c r="E36" s="85"/>
      <c r="F36" s="27">
        <v>13</v>
      </c>
      <c r="G36" s="28">
        <v>5</v>
      </c>
      <c r="H36" s="86" t="str">
        <f ca="1">IF(ISBLANK(INDIRECT(ADDRESS(K36*2+2,3))),"",INDIRECT(ADDRESS(K36*2+2,3)))</f>
        <v>Панова, Котов</v>
      </c>
      <c r="I36" s="84"/>
      <c r="J36" s="84"/>
      <c r="K36" s="26">
        <v>4</v>
      </c>
      <c r="L36" s="29" t="s">
        <v>6</v>
      </c>
      <c r="M36" s="47">
        <v>4</v>
      </c>
    </row>
    <row r="37" spans="1:13" s="25" customFormat="1" ht="30" customHeight="1" thickBot="1" x14ac:dyDescent="0.4">
      <c r="A37" s="24"/>
      <c r="B37" s="26">
        <v>2</v>
      </c>
      <c r="C37" s="84" t="str">
        <f ca="1">IF(ISBLANK(INDIRECT(ADDRESS(B37*2+2,3))),"",INDIRECT(ADDRESS(B37*2+2,3)))</f>
        <v>Агаповы</v>
      </c>
      <c r="D37" s="84"/>
      <c r="E37" s="85"/>
      <c r="F37" s="27">
        <v>9</v>
      </c>
      <c r="G37" s="28">
        <v>13</v>
      </c>
      <c r="H37" s="86" t="str">
        <f ca="1">IF(ISBLANK(INDIRECT(ADDRESS(K37*2+2,3))),"",INDIRECT(ADDRESS(K37*2+2,3)))</f>
        <v>Скляр, Лютиков</v>
      </c>
      <c r="I37" s="84"/>
      <c r="J37" s="84"/>
      <c r="K37" s="26">
        <v>3</v>
      </c>
      <c r="L37" s="29" t="s">
        <v>6</v>
      </c>
      <c r="M37" s="47">
        <v>5</v>
      </c>
    </row>
    <row r="38" spans="1:13" s="25" customFormat="1" ht="30" customHeight="1" x14ac:dyDescent="0.35">
      <c r="A38" s="24"/>
      <c r="M38" s="30"/>
    </row>
    <row r="39" spans="1:13" s="25" customFormat="1" ht="30" customHeight="1" thickBot="1" x14ac:dyDescent="0.4">
      <c r="A39" s="24"/>
      <c r="B39" s="70" t="s">
        <v>11</v>
      </c>
      <c r="C39" s="70"/>
      <c r="D39" s="70"/>
      <c r="E39" s="70"/>
      <c r="F39" s="70"/>
      <c r="G39" s="70"/>
      <c r="H39" s="70"/>
      <c r="I39" s="70"/>
      <c r="J39" s="70"/>
      <c r="K39" s="70"/>
      <c r="M39" s="30"/>
    </row>
    <row r="40" spans="1:13" s="25" customFormat="1" ht="30" customHeight="1" thickBot="1" x14ac:dyDescent="0.4">
      <c r="A40" s="24"/>
      <c r="B40" s="26">
        <v>3</v>
      </c>
      <c r="C40" s="84" t="str">
        <f ca="1">IF(ISBLANK(INDIRECT(ADDRESS(B40*2+2,3))),"",INDIRECT(ADDRESS(B40*2+2,3)))</f>
        <v>Скляр, Лютиков</v>
      </c>
      <c r="D40" s="84"/>
      <c r="E40" s="85"/>
      <c r="F40" s="27">
        <v>8</v>
      </c>
      <c r="G40" s="28">
        <v>3</v>
      </c>
      <c r="H40" s="86" t="str">
        <f ca="1">IF(ISBLANK(INDIRECT(ADDRESS(K40*2+2,3))),"",INDIRECT(ADDRESS(K40*2+2,3)))</f>
        <v>Савченко, Колесников</v>
      </c>
      <c r="I40" s="84"/>
      <c r="J40" s="84"/>
      <c r="K40" s="26">
        <v>6</v>
      </c>
      <c r="L40" s="29" t="s">
        <v>6</v>
      </c>
      <c r="M40" s="47">
        <v>7</v>
      </c>
    </row>
    <row r="41" spans="1:13" s="25" customFormat="1" ht="30" customHeight="1" thickBot="1" x14ac:dyDescent="0.4">
      <c r="A41" s="24"/>
      <c r="B41" s="26">
        <v>4</v>
      </c>
      <c r="C41" s="84" t="str">
        <f ca="1">IF(ISBLANK(INDIRECT(ADDRESS(B41*2+2,3))),"",INDIRECT(ADDRESS(B41*2+2,3)))</f>
        <v>Панова, Котов</v>
      </c>
      <c r="D41" s="84"/>
      <c r="E41" s="85"/>
      <c r="F41" s="27">
        <v>4</v>
      </c>
      <c r="G41" s="28">
        <v>13</v>
      </c>
      <c r="H41" s="86" t="str">
        <f ca="1">IF(ISBLANK(INDIRECT(ADDRESS(K41*2+2,3))),"",INDIRECT(ADDRESS(K41*2+2,3)))</f>
        <v>Агаповы</v>
      </c>
      <c r="I41" s="84"/>
      <c r="J41" s="84"/>
      <c r="K41" s="26">
        <v>2</v>
      </c>
      <c r="L41" s="29" t="s">
        <v>6</v>
      </c>
      <c r="M41" s="47">
        <v>8</v>
      </c>
    </row>
    <row r="42" spans="1:13" s="25" customFormat="1" ht="30" customHeight="1" thickBot="1" x14ac:dyDescent="0.4">
      <c r="A42" s="24"/>
      <c r="B42" s="26">
        <v>5</v>
      </c>
      <c r="C42" s="84" t="str">
        <f ca="1">IF(ISBLANK(INDIRECT(ADDRESS(B42*2+2,3))),"",INDIRECT(ADDRESS(B42*2+2,3)))</f>
        <v>Комаровы</v>
      </c>
      <c r="D42" s="84"/>
      <c r="E42" s="85"/>
      <c r="F42" s="27">
        <v>7</v>
      </c>
      <c r="G42" s="28">
        <v>4</v>
      </c>
      <c r="H42" s="86" t="str">
        <f ca="1">IF(ISBLANK(INDIRECT(ADDRESS(K42*2+2,3))),"",INDIRECT(ADDRESS(K42*2+2,3)))</f>
        <v>Поляковы</v>
      </c>
      <c r="I42" s="84"/>
      <c r="J42" s="84"/>
      <c r="K42" s="26">
        <v>1</v>
      </c>
      <c r="L42" s="29" t="s">
        <v>6</v>
      </c>
      <c r="M42" s="47">
        <v>9</v>
      </c>
    </row>
  </sheetData>
  <mergeCells count="61">
    <mergeCell ref="C42:E42"/>
    <mergeCell ref="H42:J42"/>
    <mergeCell ref="B39:K39"/>
    <mergeCell ref="C40:E40"/>
    <mergeCell ref="H40:J40"/>
    <mergeCell ref="C41:E41"/>
    <mergeCell ref="H41:J41"/>
    <mergeCell ref="C35:E35"/>
    <mergeCell ref="H35:J35"/>
    <mergeCell ref="C36:E36"/>
    <mergeCell ref="H36:J36"/>
    <mergeCell ref="C37:E37"/>
    <mergeCell ref="H37:J37"/>
    <mergeCell ref="C30:E30"/>
    <mergeCell ref="H30:J30"/>
    <mergeCell ref="C31:E31"/>
    <mergeCell ref="H31:J31"/>
    <mergeCell ref="B34:K34"/>
    <mergeCell ref="N14:N15"/>
    <mergeCell ref="C22:E22"/>
    <mergeCell ref="H22:J22"/>
    <mergeCell ref="B24:K24"/>
    <mergeCell ref="C26:E26"/>
    <mergeCell ref="H26:J26"/>
    <mergeCell ref="N4:N5"/>
    <mergeCell ref="N6:N7"/>
    <mergeCell ref="N8:N9"/>
    <mergeCell ref="N10:N11"/>
    <mergeCell ref="B12:B13"/>
    <mergeCell ref="C12:E13"/>
    <mergeCell ref="L12:L13"/>
    <mergeCell ref="N12:N13"/>
    <mergeCell ref="C25:E25"/>
    <mergeCell ref="H25:J25"/>
    <mergeCell ref="C21:E21"/>
    <mergeCell ref="H21:J21"/>
    <mergeCell ref="B10:B11"/>
    <mergeCell ref="C10:E11"/>
    <mergeCell ref="B19:K19"/>
    <mergeCell ref="C20:E20"/>
    <mergeCell ref="H20:J20"/>
    <mergeCell ref="B14:B15"/>
    <mergeCell ref="C14:E15"/>
    <mergeCell ref="L10:L11"/>
    <mergeCell ref="B6:B7"/>
    <mergeCell ref="C6:E7"/>
    <mergeCell ref="L6:L7"/>
    <mergeCell ref="B8:B9"/>
    <mergeCell ref="C8:E9"/>
    <mergeCell ref="L8:L9"/>
    <mergeCell ref="L14:L15"/>
    <mergeCell ref="L4:L5"/>
    <mergeCell ref="B1:K1"/>
    <mergeCell ref="C3:E3"/>
    <mergeCell ref="B4:B5"/>
    <mergeCell ref="C4:E5"/>
    <mergeCell ref="C27:E27"/>
    <mergeCell ref="H27:J27"/>
    <mergeCell ref="B29:K29"/>
    <mergeCell ref="C32:E32"/>
    <mergeCell ref="H32:J32"/>
  </mergeCells>
  <pageMargins left="0.25" right="0.25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J16" sqref="J16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6" customHeight="1" x14ac:dyDescent="0.25">
      <c r="B1" s="104" t="s">
        <v>13</v>
      </c>
      <c r="C1" s="104"/>
      <c r="D1" s="104"/>
      <c r="E1" s="104"/>
      <c r="F1" s="104"/>
      <c r="G1" s="104"/>
      <c r="H1" s="104"/>
      <c r="I1" s="104"/>
      <c r="J1" s="104"/>
      <c r="K1" s="104"/>
      <c r="M1"/>
    </row>
    <row r="2" spans="2:13" ht="15.75" thickBot="1" x14ac:dyDescent="0.3">
      <c r="M2"/>
    </row>
    <row r="3" spans="2:13" ht="30" customHeight="1" thickBot="1" x14ac:dyDescent="0.3">
      <c r="B3" s="48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48" t="s">
        <v>1</v>
      </c>
      <c r="L3" s="4" t="s">
        <v>2</v>
      </c>
      <c r="M3" s="6" t="s">
        <v>3</v>
      </c>
    </row>
    <row r="4" spans="2:13" ht="24" customHeight="1" x14ac:dyDescent="0.25">
      <c r="B4" s="75">
        <v>1</v>
      </c>
      <c r="C4" s="125" t="s">
        <v>120</v>
      </c>
      <c r="D4" s="126"/>
      <c r="E4" s="127"/>
      <c r="F4" s="7" t="s">
        <v>4</v>
      </c>
      <c r="G4" s="8" t="str">
        <f ca="1">INDIRECT(ADDRESS(23,6))&amp;":"&amp;INDIRECT(ADDRESS(23,7))</f>
        <v>13:3</v>
      </c>
      <c r="H4" s="8" t="str">
        <f ca="1">INDIRECT(ADDRESS(26,7))&amp;":"&amp;INDIRECT(ADDRESS(26,6))</f>
        <v>4:9</v>
      </c>
      <c r="I4" s="8" t="str">
        <f ca="1">INDIRECT(ADDRESS(30,6))&amp;":"&amp;INDIRECT(ADDRESS(30,7))</f>
        <v>11:6</v>
      </c>
      <c r="J4" s="9" t="str">
        <f ca="1">INDIRECT(ADDRESS(35,7))&amp;":"&amp;INDIRECT(ADDRESS(35,6))</f>
        <v>13:4</v>
      </c>
      <c r="K4" s="95">
        <f ca="1">IF(COUNT(F5:J5)=0,"",COUNTIF(F5:J5,"&gt;0")+0.5*COUNTIF(F5:J5,0))</f>
        <v>3</v>
      </c>
      <c r="L4" s="10"/>
      <c r="M4" s="93">
        <v>2</v>
      </c>
    </row>
    <row r="5" spans="2:13" ht="24" customHeight="1" x14ac:dyDescent="0.25">
      <c r="B5" s="76"/>
      <c r="C5" s="110"/>
      <c r="D5" s="111"/>
      <c r="E5" s="112"/>
      <c r="F5" s="11" t="s">
        <v>4</v>
      </c>
      <c r="G5" s="12">
        <f ca="1">IF(LEN(INDIRECT(ADDRESS(ROW()-1, COLUMN())))=1,"",INDIRECT(ADDRESS(23,6))-INDIRECT(ADDRESS(23,7)))</f>
        <v>10</v>
      </c>
      <c r="H5" s="12">
        <f ca="1">IF(LEN(INDIRECT(ADDRESS(ROW()-1, COLUMN())))=1,"",INDIRECT(ADDRESS(26,7))-INDIRECT(ADDRESS(26,6)))</f>
        <v>-5</v>
      </c>
      <c r="I5" s="12">
        <f ca="1">IF(LEN(INDIRECT(ADDRESS(ROW()-1, COLUMN())))=1,"",INDIRECT(ADDRESS(30,6))-INDIRECT(ADDRESS(30,7)))</f>
        <v>5</v>
      </c>
      <c r="J5" s="13">
        <f ca="1">IF(LEN(INDIRECT(ADDRESS(ROW()-1, COLUMN())))=1,"",INDIRECT(ADDRESS(35,7))-INDIRECT(ADDRESS(35,6)))</f>
        <v>9</v>
      </c>
      <c r="K5" s="83"/>
      <c r="L5" s="12">
        <f ca="1">IF(COUNT(F5:J5)=0,"",SUM(F5:J5))</f>
        <v>19</v>
      </c>
      <c r="M5" s="94"/>
    </row>
    <row r="6" spans="2:13" ht="24" customHeight="1" x14ac:dyDescent="0.25">
      <c r="B6" s="87">
        <v>2</v>
      </c>
      <c r="C6" s="80" t="s">
        <v>121</v>
      </c>
      <c r="D6" s="81"/>
      <c r="E6" s="82"/>
      <c r="F6" s="14" t="str">
        <f ca="1">INDIRECT(ADDRESS(23,7))&amp;":"&amp;INDIRECT(ADDRESS(23,6))</f>
        <v>3:13</v>
      </c>
      <c r="G6" s="15" t="s">
        <v>4</v>
      </c>
      <c r="H6" s="16" t="str">
        <f ca="1">INDIRECT(ADDRESS(31,6))&amp;":"&amp;INDIRECT(ADDRESS(31,7))</f>
        <v>6:9</v>
      </c>
      <c r="I6" s="16" t="str">
        <f ca="1">INDIRECT(ADDRESS(34,7))&amp;":"&amp;INDIRECT(ADDRESS(34,6))</f>
        <v>9:8</v>
      </c>
      <c r="J6" s="17" t="str">
        <f ca="1">INDIRECT(ADDRESS(18,6))&amp;":"&amp;INDIRECT(ADDRESS(18,7))</f>
        <v>9:13</v>
      </c>
      <c r="K6" s="83">
        <f ca="1">IF(COUNT(F7:J7)=0,"",COUNTIF(F7:J7,"&gt;0")+0.5*COUNTIF(F7:J7,0))</f>
        <v>1</v>
      </c>
      <c r="L6" s="12"/>
      <c r="M6" s="94">
        <v>4</v>
      </c>
    </row>
    <row r="7" spans="2:13" ht="24" customHeight="1" x14ac:dyDescent="0.25">
      <c r="B7" s="76"/>
      <c r="C7" s="80"/>
      <c r="D7" s="81"/>
      <c r="E7" s="82"/>
      <c r="F7" s="18">
        <f ca="1">IF(LEN(INDIRECT(ADDRESS(ROW()-1, COLUMN())))=1,"",INDIRECT(ADDRESS(23,7))-INDIRECT(ADDRESS(23,6)))</f>
        <v>-10</v>
      </c>
      <c r="G7" s="19" t="s">
        <v>4</v>
      </c>
      <c r="H7" s="12">
        <f ca="1">IF(LEN(INDIRECT(ADDRESS(ROW()-1, COLUMN())))=1,"",INDIRECT(ADDRESS(31,6))-INDIRECT(ADDRESS(31,7)))</f>
        <v>-3</v>
      </c>
      <c r="I7" s="12">
        <f ca="1">IF(LEN(INDIRECT(ADDRESS(ROW()-1, COLUMN())))=1,"",INDIRECT(ADDRESS(34,7))-INDIRECT(ADDRESS(34,6)))</f>
        <v>1</v>
      </c>
      <c r="J7" s="13">
        <f ca="1">IF(LEN(INDIRECT(ADDRESS(ROW()-1, COLUMN())))=1,"",INDIRECT(ADDRESS(18,6))-INDIRECT(ADDRESS(18,7)))</f>
        <v>-4</v>
      </c>
      <c r="K7" s="83"/>
      <c r="L7" s="12">
        <f ca="1">IF(COUNT(F7:J7)=0,"",SUM(F7:J7))</f>
        <v>-16</v>
      </c>
      <c r="M7" s="94"/>
    </row>
    <row r="8" spans="2:13" ht="24" customHeight="1" x14ac:dyDescent="0.25">
      <c r="B8" s="87">
        <v>3</v>
      </c>
      <c r="C8" s="110" t="s">
        <v>122</v>
      </c>
      <c r="D8" s="111"/>
      <c r="E8" s="112"/>
      <c r="F8" s="14" t="str">
        <f ca="1">INDIRECT(ADDRESS(26,6))&amp;":"&amp;INDIRECT(ADDRESS(26,7))</f>
        <v>9:4</v>
      </c>
      <c r="G8" s="16" t="str">
        <f ca="1">INDIRECT(ADDRESS(31,7))&amp;":"&amp;INDIRECT(ADDRESS(31,6))</f>
        <v>9:6</v>
      </c>
      <c r="H8" s="15" t="s">
        <v>4</v>
      </c>
      <c r="I8" s="16" t="str">
        <f ca="1">INDIRECT(ADDRESS(19,6))&amp;":"&amp;INDIRECT(ADDRESS(19,7))</f>
        <v>8:5</v>
      </c>
      <c r="J8" s="17" t="str">
        <f ca="1">INDIRECT(ADDRESS(22,7))&amp;":"&amp;INDIRECT(ADDRESS(22,6))</f>
        <v>13:3</v>
      </c>
      <c r="K8" s="83">
        <f ca="1">IF(COUNT(F9:J9)=0,"",COUNTIF(F9:J9,"&gt;0")+0.5*COUNTIF(F9:J9,0))</f>
        <v>4</v>
      </c>
      <c r="L8" s="12"/>
      <c r="M8" s="94">
        <v>1</v>
      </c>
    </row>
    <row r="9" spans="2:13" ht="24" customHeight="1" x14ac:dyDescent="0.25">
      <c r="B9" s="76"/>
      <c r="C9" s="110"/>
      <c r="D9" s="111"/>
      <c r="E9" s="112"/>
      <c r="F9" s="18">
        <f ca="1">IF(LEN(INDIRECT(ADDRESS(ROW()-1, COLUMN())))=1,"",INDIRECT(ADDRESS(26,6))-INDIRECT(ADDRESS(26,7)))</f>
        <v>5</v>
      </c>
      <c r="G9" s="12">
        <f ca="1">IF(LEN(INDIRECT(ADDRESS(ROW()-1, COLUMN())))=1,"",INDIRECT(ADDRESS(31,7))-INDIRECT(ADDRESS(31,6)))</f>
        <v>3</v>
      </c>
      <c r="H9" s="19" t="s">
        <v>4</v>
      </c>
      <c r="I9" s="12">
        <f ca="1">IF(LEN(INDIRECT(ADDRESS(ROW()-1, COLUMN())))=1,"",INDIRECT(ADDRESS(19,6))-INDIRECT(ADDRESS(19,7)))</f>
        <v>3</v>
      </c>
      <c r="J9" s="13">
        <f ca="1">IF(LEN(INDIRECT(ADDRESS(ROW()-1, COLUMN())))=1,"",INDIRECT(ADDRESS(22,7))-INDIRECT(ADDRESS(22,6)))</f>
        <v>10</v>
      </c>
      <c r="K9" s="83"/>
      <c r="L9" s="12">
        <f ca="1">IF(COUNT(F9:J9)=0,"",SUM(F9:J9))</f>
        <v>21</v>
      </c>
      <c r="M9" s="94"/>
    </row>
    <row r="10" spans="2:13" ht="24" customHeight="1" x14ac:dyDescent="0.25">
      <c r="B10" s="87">
        <v>4</v>
      </c>
      <c r="C10" s="80" t="s">
        <v>123</v>
      </c>
      <c r="D10" s="81"/>
      <c r="E10" s="82"/>
      <c r="F10" s="14" t="str">
        <f ca="1">INDIRECT(ADDRESS(30,7))&amp;":"&amp;INDIRECT(ADDRESS(30,6))</f>
        <v>6:11</v>
      </c>
      <c r="G10" s="16" t="str">
        <f ca="1">INDIRECT(ADDRESS(34,6))&amp;":"&amp;INDIRECT(ADDRESS(34,7))</f>
        <v>8:9</v>
      </c>
      <c r="H10" s="16" t="str">
        <f ca="1">INDIRECT(ADDRESS(19,7))&amp;":"&amp;INDIRECT(ADDRESS(19,6))</f>
        <v>5:8</v>
      </c>
      <c r="I10" s="15" t="s">
        <v>4</v>
      </c>
      <c r="J10" s="17" t="str">
        <f ca="1">INDIRECT(ADDRESS(27,6))&amp;":"&amp;INDIRECT(ADDRESS(27,7))</f>
        <v>8:11</v>
      </c>
      <c r="K10" s="83">
        <f ca="1">IF(COUNT(F11:J11)=0,"",COUNTIF(F11:J11,"&gt;0")+0.5*COUNTIF(F11:J11,0))</f>
        <v>0</v>
      </c>
      <c r="L10" s="12"/>
      <c r="M10" s="94">
        <v>5</v>
      </c>
    </row>
    <row r="11" spans="2:13" ht="24" customHeight="1" x14ac:dyDescent="0.25">
      <c r="B11" s="76"/>
      <c r="C11" s="80"/>
      <c r="D11" s="81"/>
      <c r="E11" s="82"/>
      <c r="F11" s="18">
        <f ca="1">IF(LEN(INDIRECT(ADDRESS(ROW()-1, COLUMN())))=1,"",INDIRECT(ADDRESS(30,7))-INDIRECT(ADDRESS(30,6)))</f>
        <v>-5</v>
      </c>
      <c r="G11" s="12">
        <f ca="1">IF(LEN(INDIRECT(ADDRESS(ROW()-1, COLUMN())))=1,"",INDIRECT(ADDRESS(34,6))-INDIRECT(ADDRESS(34,7)))</f>
        <v>-1</v>
      </c>
      <c r="H11" s="12">
        <f ca="1">IF(LEN(INDIRECT(ADDRESS(ROW()-1, COLUMN())))=1,"",INDIRECT(ADDRESS(19,7))-INDIRECT(ADDRESS(19,6)))</f>
        <v>-3</v>
      </c>
      <c r="I11" s="19" t="s">
        <v>4</v>
      </c>
      <c r="J11" s="13">
        <f ca="1">IF(LEN(INDIRECT(ADDRESS(ROW()-1, COLUMN())))=1,"",INDIRECT(ADDRESS(27,6))-INDIRECT(ADDRESS(27,7)))</f>
        <v>-3</v>
      </c>
      <c r="K11" s="83"/>
      <c r="L11" s="12">
        <f ca="1">IF(COUNT(F11:J11)=0,"",SUM(F11:J11))</f>
        <v>-12</v>
      </c>
      <c r="M11" s="94"/>
    </row>
    <row r="12" spans="2:13" ht="24" customHeight="1" x14ac:dyDescent="0.25">
      <c r="B12" s="87">
        <v>5</v>
      </c>
      <c r="C12" s="80" t="s">
        <v>124</v>
      </c>
      <c r="D12" s="81"/>
      <c r="E12" s="82"/>
      <c r="F12" s="14" t="str">
        <f ca="1">INDIRECT(ADDRESS(35,6))&amp;":"&amp;INDIRECT(ADDRESS(35,7))</f>
        <v>4:13</v>
      </c>
      <c r="G12" s="16" t="str">
        <f ca="1">INDIRECT(ADDRESS(18,7))&amp;":"&amp;INDIRECT(ADDRESS(18,6))</f>
        <v>13:9</v>
      </c>
      <c r="H12" s="16" t="str">
        <f ca="1">INDIRECT(ADDRESS(22,6))&amp;":"&amp;INDIRECT(ADDRESS(22,7))</f>
        <v>3:13</v>
      </c>
      <c r="I12" s="16" t="str">
        <f ca="1">INDIRECT(ADDRESS(27,7))&amp;":"&amp;INDIRECT(ADDRESS(27,6))</f>
        <v>11:8</v>
      </c>
      <c r="J12" s="20" t="s">
        <v>4</v>
      </c>
      <c r="K12" s="83">
        <f ca="1">IF(COUNT(F13:J13)=0,"",COUNTIF(F13:J13,"&gt;0")+0.5*COUNTIF(F13:J13,0))</f>
        <v>2</v>
      </c>
      <c r="L12" s="12"/>
      <c r="M12" s="94">
        <v>3</v>
      </c>
    </row>
    <row r="13" spans="2:13" ht="24" customHeight="1" thickBot="1" x14ac:dyDescent="0.3">
      <c r="B13" s="88"/>
      <c r="C13" s="89"/>
      <c r="D13" s="90"/>
      <c r="E13" s="91"/>
      <c r="F13" s="21">
        <f ca="1">IF(LEN(INDIRECT(ADDRESS(ROW()-1, COLUMN())))=1,"",INDIRECT(ADDRESS(35,6))-INDIRECT(ADDRESS(35,7)))</f>
        <v>-9</v>
      </c>
      <c r="G13" s="22">
        <f ca="1">IF(LEN(INDIRECT(ADDRESS(ROW()-1, COLUMN())))=1,"",INDIRECT(ADDRESS(18,7))-INDIRECT(ADDRESS(18,6)))</f>
        <v>4</v>
      </c>
      <c r="H13" s="22">
        <f ca="1">IF(LEN(INDIRECT(ADDRESS(ROW()-1, COLUMN())))=1,"",INDIRECT(ADDRESS(22,6))-INDIRECT(ADDRESS(22,7)))</f>
        <v>-10</v>
      </c>
      <c r="I13" s="22">
        <f ca="1">IF(LEN(INDIRECT(ADDRESS(ROW()-1, COLUMN())))=1,"",INDIRECT(ADDRESS(27,7))-INDIRECT(ADDRESS(27,6)))</f>
        <v>3</v>
      </c>
      <c r="J13" s="23" t="s">
        <v>4</v>
      </c>
      <c r="K13" s="92"/>
      <c r="L13" s="22">
        <f ca="1">IF(COUNT(F13:J13)=0,"",SUM(F13:J13))</f>
        <v>-12</v>
      </c>
      <c r="M13" s="9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5" customFormat="1" ht="30" customHeight="1" thickBot="1" x14ac:dyDescent="0.4">
      <c r="A17" s="24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40"/>
    </row>
    <row r="18" spans="1:13" s="25" customFormat="1" ht="30" customHeight="1" thickBot="1" x14ac:dyDescent="0.4">
      <c r="A18" s="24"/>
      <c r="B18" s="26">
        <v>2</v>
      </c>
      <c r="C18" s="84" t="str">
        <f ca="1">IF(ISBLANK(INDIRECT(ADDRESS(B18*2+2,3))),"",INDIRECT(ADDRESS(B18*2+2,3)))</f>
        <v>Филатовы</v>
      </c>
      <c r="D18" s="84"/>
      <c r="E18" s="85"/>
      <c r="F18" s="27">
        <v>9</v>
      </c>
      <c r="G18" s="28">
        <v>13</v>
      </c>
      <c r="H18" s="121" t="str">
        <f ca="1">IF(ISBLANK(INDIRECT(ADDRESS(K18*2+2,3))),"",INDIRECT(ADDRESS(K18*2+2,3)))</f>
        <v>Кузнецова Е., Красноперов</v>
      </c>
      <c r="I18" s="119"/>
      <c r="J18" s="119"/>
      <c r="K18" s="26">
        <v>5</v>
      </c>
      <c r="L18" s="29" t="s">
        <v>6</v>
      </c>
      <c r="M18" s="47">
        <v>7</v>
      </c>
    </row>
    <row r="19" spans="1:13" s="25" customFormat="1" ht="30" customHeight="1" thickBot="1" x14ac:dyDescent="0.4">
      <c r="A19" s="24"/>
      <c r="B19" s="26">
        <v>3</v>
      </c>
      <c r="C19" s="84" t="str">
        <f ca="1">IF(ISBLANK(INDIRECT(ADDRESS(B19*2+2,3))),"",INDIRECT(ADDRESS(B19*2+2,3)))</f>
        <v>Дубовицкие</v>
      </c>
      <c r="D19" s="84"/>
      <c r="E19" s="85"/>
      <c r="F19" s="27">
        <v>8</v>
      </c>
      <c r="G19" s="28">
        <v>5</v>
      </c>
      <c r="H19" s="86" t="str">
        <f ca="1">IF(ISBLANK(INDIRECT(ADDRESS(K19*2+2,3))),"",INDIRECT(ADDRESS(K19*2+2,3)))</f>
        <v>Бугите, Царегородцев</v>
      </c>
      <c r="I19" s="84"/>
      <c r="J19" s="84"/>
      <c r="K19" s="26">
        <v>4</v>
      </c>
      <c r="L19" s="29" t="s">
        <v>6</v>
      </c>
      <c r="M19" s="47">
        <v>8</v>
      </c>
    </row>
    <row r="20" spans="1:13" s="25" customFormat="1" ht="30" customHeight="1" x14ac:dyDescent="0.35">
      <c r="A20" s="24"/>
      <c r="M20" s="30"/>
    </row>
    <row r="21" spans="1:13" s="25" customFormat="1" ht="30" customHeight="1" thickBot="1" x14ac:dyDescent="0.4">
      <c r="A21" s="24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0"/>
    </row>
    <row r="22" spans="1:13" s="25" customFormat="1" ht="30" customHeight="1" thickBot="1" x14ac:dyDescent="0.4">
      <c r="A22" s="24"/>
      <c r="B22" s="26">
        <v>5</v>
      </c>
      <c r="C22" s="119" t="str">
        <f ca="1">IF(ISBLANK(INDIRECT(ADDRESS(B22*2+2,3))),"",INDIRECT(ADDRESS(B22*2+2,3)))</f>
        <v>Кузнецова Е., Красноперов</v>
      </c>
      <c r="D22" s="119"/>
      <c r="E22" s="120"/>
      <c r="F22" s="27">
        <v>3</v>
      </c>
      <c r="G22" s="28">
        <v>13</v>
      </c>
      <c r="H22" s="86" t="str">
        <f ca="1">IF(ISBLANK(INDIRECT(ADDRESS(K22*2+2,3))),"",INDIRECT(ADDRESS(K22*2+2,3)))</f>
        <v>Дубовицкие</v>
      </c>
      <c r="I22" s="84"/>
      <c r="J22" s="84"/>
      <c r="K22" s="26">
        <v>3</v>
      </c>
      <c r="L22" s="29" t="s">
        <v>6</v>
      </c>
      <c r="M22" s="47">
        <v>1</v>
      </c>
    </row>
    <row r="23" spans="1:13" s="25" customFormat="1" ht="30" customHeight="1" thickBot="1" x14ac:dyDescent="0.4">
      <c r="A23" s="24"/>
      <c r="B23" s="26">
        <v>1</v>
      </c>
      <c r="C23" s="84" t="str">
        <f ca="1">IF(ISBLANK(INDIRECT(ADDRESS(B23*2+2,3))),"",INDIRECT(ADDRESS(B23*2+2,3)))</f>
        <v>Бирюкова, Африканов</v>
      </c>
      <c r="D23" s="84"/>
      <c r="E23" s="85"/>
      <c r="F23" s="27">
        <v>13</v>
      </c>
      <c r="G23" s="28">
        <v>3</v>
      </c>
      <c r="H23" s="86" t="str">
        <f ca="1">IF(ISBLANK(INDIRECT(ADDRESS(K23*2+2,3))),"",INDIRECT(ADDRESS(K23*2+2,3)))</f>
        <v>Филатовы</v>
      </c>
      <c r="I23" s="84"/>
      <c r="J23" s="84"/>
      <c r="K23" s="26">
        <v>2</v>
      </c>
      <c r="L23" s="29" t="s">
        <v>6</v>
      </c>
      <c r="M23" s="47">
        <v>2</v>
      </c>
    </row>
    <row r="24" spans="1:13" s="25" customFormat="1" ht="30" customHeight="1" x14ac:dyDescent="0.35">
      <c r="A24" s="24"/>
      <c r="M24" s="30"/>
    </row>
    <row r="25" spans="1:13" s="25" customFormat="1" ht="30" customHeight="1" thickBot="1" x14ac:dyDescent="0.4">
      <c r="A25" s="24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0"/>
    </row>
    <row r="26" spans="1:13" s="25" customFormat="1" ht="30" customHeight="1" thickBot="1" x14ac:dyDescent="0.4">
      <c r="A26" s="24"/>
      <c r="B26" s="26">
        <v>3</v>
      </c>
      <c r="C26" s="84" t="str">
        <f ca="1">IF(ISBLANK(INDIRECT(ADDRESS(B26*2+2,3))),"",INDIRECT(ADDRESS(B26*2+2,3)))</f>
        <v>Дубовицкие</v>
      </c>
      <c r="D26" s="84"/>
      <c r="E26" s="85"/>
      <c r="F26" s="27">
        <v>9</v>
      </c>
      <c r="G26" s="28">
        <v>4</v>
      </c>
      <c r="H26" s="86" t="str">
        <f ca="1">IF(ISBLANK(INDIRECT(ADDRESS(K26*2+2,3))),"",INDIRECT(ADDRESS(K26*2+2,3)))</f>
        <v>Бирюкова, Африканов</v>
      </c>
      <c r="I26" s="84"/>
      <c r="J26" s="84"/>
      <c r="K26" s="26">
        <v>1</v>
      </c>
      <c r="L26" s="29" t="s">
        <v>6</v>
      </c>
      <c r="M26" s="47">
        <v>5</v>
      </c>
    </row>
    <row r="27" spans="1:13" s="25" customFormat="1" ht="30" customHeight="1" thickBot="1" x14ac:dyDescent="0.4">
      <c r="A27" s="24"/>
      <c r="B27" s="26">
        <v>4</v>
      </c>
      <c r="C27" s="84" t="str">
        <f ca="1">IF(ISBLANK(INDIRECT(ADDRESS(B27*2+2,3))),"",INDIRECT(ADDRESS(B27*2+2,3)))</f>
        <v>Бугите, Царегородцев</v>
      </c>
      <c r="D27" s="84"/>
      <c r="E27" s="85"/>
      <c r="F27" s="27">
        <v>8</v>
      </c>
      <c r="G27" s="28">
        <v>11</v>
      </c>
      <c r="H27" s="121" t="str">
        <f ca="1">IF(ISBLANK(INDIRECT(ADDRESS(K27*2+2,3))),"",INDIRECT(ADDRESS(K27*2+2,3)))</f>
        <v>Кузнецова Е., Красноперов</v>
      </c>
      <c r="I27" s="119"/>
      <c r="J27" s="119"/>
      <c r="K27" s="26">
        <v>5</v>
      </c>
      <c r="L27" s="29" t="s">
        <v>6</v>
      </c>
      <c r="M27" s="47">
        <v>6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10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1</v>
      </c>
      <c r="C30" s="84" t="str">
        <f ca="1">IF(ISBLANK(INDIRECT(ADDRESS(B30*2+2,3))),"",INDIRECT(ADDRESS(B30*2+2,3)))</f>
        <v>Бирюкова, Африканов</v>
      </c>
      <c r="D30" s="84"/>
      <c r="E30" s="85"/>
      <c r="F30" s="27">
        <v>11</v>
      </c>
      <c r="G30" s="28">
        <v>6</v>
      </c>
      <c r="H30" s="86" t="str">
        <f ca="1">IF(ISBLANK(INDIRECT(ADDRESS(K30*2+2,3))),"",INDIRECT(ADDRESS(K30*2+2,3)))</f>
        <v>Бугите, Царегородцев</v>
      </c>
      <c r="I30" s="84"/>
      <c r="J30" s="84"/>
      <c r="K30" s="26">
        <v>4</v>
      </c>
      <c r="L30" s="29" t="s">
        <v>6</v>
      </c>
      <c r="M30" s="47">
        <v>9</v>
      </c>
    </row>
    <row r="31" spans="1:13" s="25" customFormat="1" ht="30" customHeight="1" thickBot="1" x14ac:dyDescent="0.4">
      <c r="A31" s="24"/>
      <c r="B31" s="26">
        <v>2</v>
      </c>
      <c r="C31" s="84" t="str">
        <f ca="1">IF(ISBLANK(INDIRECT(ADDRESS(B31*2+2,3))),"",INDIRECT(ADDRESS(B31*2+2,3)))</f>
        <v>Филатовы</v>
      </c>
      <c r="D31" s="84"/>
      <c r="E31" s="85"/>
      <c r="F31" s="27">
        <v>6</v>
      </c>
      <c r="G31" s="28">
        <v>9</v>
      </c>
      <c r="H31" s="86" t="str">
        <f ca="1">IF(ISBLANK(INDIRECT(ADDRESS(K31*2+2,3))),"",INDIRECT(ADDRESS(K31*2+2,3)))</f>
        <v>Дубовицкие</v>
      </c>
      <c r="I31" s="84"/>
      <c r="J31" s="84"/>
      <c r="K31" s="26">
        <v>3</v>
      </c>
      <c r="L31" s="29" t="s">
        <v>6</v>
      </c>
      <c r="M31" s="47">
        <v>10</v>
      </c>
    </row>
    <row r="32" spans="1:13" s="25" customFormat="1" ht="30" customHeight="1" x14ac:dyDescent="0.35">
      <c r="A32" s="24"/>
      <c r="M32" s="30"/>
    </row>
    <row r="33" spans="1:13" s="25" customFormat="1" ht="30" customHeight="1" thickBot="1" x14ac:dyDescent="0.4">
      <c r="A33" s="24"/>
      <c r="B33" s="70" t="s">
        <v>11</v>
      </c>
      <c r="C33" s="70"/>
      <c r="D33" s="70"/>
      <c r="E33" s="70"/>
      <c r="F33" s="70"/>
      <c r="G33" s="70"/>
      <c r="H33" s="70"/>
      <c r="I33" s="70"/>
      <c r="J33" s="70"/>
      <c r="K33" s="70"/>
      <c r="M33" s="30"/>
    </row>
    <row r="34" spans="1:13" s="25" customFormat="1" ht="30" customHeight="1" thickBot="1" x14ac:dyDescent="0.4">
      <c r="A34" s="24"/>
      <c r="B34" s="26">
        <v>4</v>
      </c>
      <c r="C34" s="84" t="str">
        <f ca="1">IF(ISBLANK(INDIRECT(ADDRESS(B34*2+2,3))),"",INDIRECT(ADDRESS(B34*2+2,3)))</f>
        <v>Бугите, Царегородцев</v>
      </c>
      <c r="D34" s="84"/>
      <c r="E34" s="85"/>
      <c r="F34" s="27">
        <v>8</v>
      </c>
      <c r="G34" s="28">
        <v>9</v>
      </c>
      <c r="H34" s="86" t="str">
        <f ca="1">IF(ISBLANK(INDIRECT(ADDRESS(K34*2+2,3))),"",INDIRECT(ADDRESS(K34*2+2,3)))</f>
        <v>Филатовы</v>
      </c>
      <c r="I34" s="84"/>
      <c r="J34" s="84"/>
      <c r="K34" s="26">
        <v>2</v>
      </c>
      <c r="L34" s="29" t="s">
        <v>6</v>
      </c>
      <c r="M34" s="47">
        <v>3</v>
      </c>
    </row>
    <row r="35" spans="1:13" s="25" customFormat="1" ht="30" customHeight="1" thickBot="1" x14ac:dyDescent="0.4">
      <c r="A35" s="24"/>
      <c r="B35" s="26">
        <v>5</v>
      </c>
      <c r="C35" s="119" t="str">
        <f ca="1">IF(ISBLANK(INDIRECT(ADDRESS(B35*2+2,3))),"",INDIRECT(ADDRESS(B35*2+2,3)))</f>
        <v>Кузнецова Е., Красноперов</v>
      </c>
      <c r="D35" s="119"/>
      <c r="E35" s="120"/>
      <c r="F35" s="27">
        <v>4</v>
      </c>
      <c r="G35" s="28">
        <v>13</v>
      </c>
      <c r="H35" s="86" t="str">
        <f ca="1">IF(ISBLANK(INDIRECT(ADDRESS(K35*2+2,3))),"",INDIRECT(ADDRESS(K35*2+2,3)))</f>
        <v>Бирюкова, Африканов</v>
      </c>
      <c r="I35" s="84"/>
      <c r="J35" s="84"/>
      <c r="K35" s="26">
        <v>1</v>
      </c>
      <c r="L35" s="29" t="s">
        <v>6</v>
      </c>
      <c r="M35" s="47">
        <v>4</v>
      </c>
    </row>
  </sheetData>
  <mergeCells count="47">
    <mergeCell ref="C34:E34"/>
    <mergeCell ref="H34:J34"/>
    <mergeCell ref="C35:E35"/>
    <mergeCell ref="H35:J35"/>
    <mergeCell ref="C30:E30"/>
    <mergeCell ref="H30:J30"/>
    <mergeCell ref="C31:E31"/>
    <mergeCell ref="H31:J31"/>
    <mergeCell ref="B33:K33"/>
    <mergeCell ref="C26:E26"/>
    <mergeCell ref="H26:J26"/>
    <mergeCell ref="C27:E27"/>
    <mergeCell ref="H27:J27"/>
    <mergeCell ref="B29:K29"/>
    <mergeCell ref="B21:K21"/>
    <mergeCell ref="C22:E22"/>
    <mergeCell ref="H22:J22"/>
    <mergeCell ref="C23:E23"/>
    <mergeCell ref="H23:J23"/>
    <mergeCell ref="M10:M11"/>
    <mergeCell ref="B12:B13"/>
    <mergeCell ref="C12:E13"/>
    <mergeCell ref="K12:K13"/>
    <mergeCell ref="M12:M13"/>
    <mergeCell ref="M4:M5"/>
    <mergeCell ref="K6:K7"/>
    <mergeCell ref="M6:M7"/>
    <mergeCell ref="K8:K9"/>
    <mergeCell ref="M8:M9"/>
    <mergeCell ref="B25:K25"/>
    <mergeCell ref="B10:B11"/>
    <mergeCell ref="C10:E11"/>
    <mergeCell ref="K10:K11"/>
    <mergeCell ref="B17:K17"/>
    <mergeCell ref="C18:E18"/>
    <mergeCell ref="H18:J18"/>
    <mergeCell ref="C19:E19"/>
    <mergeCell ref="H19:J19"/>
    <mergeCell ref="B6:B7"/>
    <mergeCell ref="C6:E7"/>
    <mergeCell ref="B8:B9"/>
    <mergeCell ref="C8:E9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N15" sqref="N15"/>
    </sheetView>
  </sheetViews>
  <sheetFormatPr defaultRowHeight="15" x14ac:dyDescent="0.25"/>
  <cols>
    <col min="1" max="1" width="4" style="1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0" x14ac:dyDescent="0.25">
      <c r="B1" s="71" t="s">
        <v>14</v>
      </c>
      <c r="C1" s="71"/>
      <c r="D1" s="71"/>
      <c r="E1" s="71"/>
      <c r="F1" s="71"/>
      <c r="G1" s="71"/>
      <c r="H1" s="71"/>
      <c r="I1" s="71"/>
      <c r="J1" s="71"/>
      <c r="K1" s="71"/>
      <c r="M1"/>
    </row>
    <row r="2" spans="2:13" ht="15.75" thickBot="1" x14ac:dyDescent="0.3">
      <c r="M2"/>
    </row>
    <row r="3" spans="2:13" ht="15.75" thickBot="1" x14ac:dyDescent="0.3">
      <c r="B3" s="3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3" t="s">
        <v>1</v>
      </c>
      <c r="L3" s="4" t="s">
        <v>2</v>
      </c>
      <c r="M3" s="6" t="s">
        <v>3</v>
      </c>
    </row>
    <row r="4" spans="2:13" ht="21" x14ac:dyDescent="0.25">
      <c r="B4" s="75">
        <v>1</v>
      </c>
      <c r="C4" s="125" t="s">
        <v>125</v>
      </c>
      <c r="D4" s="126"/>
      <c r="E4" s="127"/>
      <c r="F4" s="7" t="s">
        <v>4</v>
      </c>
      <c r="G4" s="8" t="str">
        <f ca="1">INDIRECT(ADDRESS(23,6))&amp;":"&amp;INDIRECT(ADDRESS(23,7))</f>
        <v>6:13</v>
      </c>
      <c r="H4" s="8" t="str">
        <f ca="1">INDIRECT(ADDRESS(26,7))&amp;":"&amp;INDIRECT(ADDRESS(26,6))</f>
        <v>13:8</v>
      </c>
      <c r="I4" s="8" t="str">
        <f ca="1">INDIRECT(ADDRESS(30,6))&amp;":"&amp;INDIRECT(ADDRESS(30,7))</f>
        <v>13:0</v>
      </c>
      <c r="J4" s="9" t="str">
        <f ca="1">INDIRECT(ADDRESS(35,7))&amp;":"&amp;INDIRECT(ADDRESS(35,6))</f>
        <v>13:6</v>
      </c>
      <c r="K4" s="95">
        <f ca="1">IF(COUNT(F5:J5)=0,"",COUNTIF(F5:J5,"&gt;0")+0.5*COUNTIF(F5:J5,0))</f>
        <v>3</v>
      </c>
      <c r="L4" s="10"/>
      <c r="M4" s="93">
        <v>1</v>
      </c>
    </row>
    <row r="5" spans="2:13" ht="21" x14ac:dyDescent="0.25">
      <c r="B5" s="76"/>
      <c r="C5" s="110"/>
      <c r="D5" s="111"/>
      <c r="E5" s="112"/>
      <c r="F5" s="11" t="s">
        <v>4</v>
      </c>
      <c r="G5" s="12">
        <f ca="1">IF(LEN(INDIRECT(ADDRESS(ROW()-1, COLUMN())))=1,"",INDIRECT(ADDRESS(23,6))-INDIRECT(ADDRESS(23,7)))</f>
        <v>-7</v>
      </c>
      <c r="H5" s="12">
        <f ca="1">IF(LEN(INDIRECT(ADDRESS(ROW()-1, COLUMN())))=1,"",INDIRECT(ADDRESS(26,7))-INDIRECT(ADDRESS(26,6)))</f>
        <v>5</v>
      </c>
      <c r="I5" s="12">
        <f ca="1">IF(LEN(INDIRECT(ADDRESS(ROW()-1, COLUMN())))=1,"",INDIRECT(ADDRESS(30,6))-INDIRECT(ADDRESS(30,7)))</f>
        <v>13</v>
      </c>
      <c r="J5" s="13">
        <f ca="1">IF(LEN(INDIRECT(ADDRESS(ROW()-1, COLUMN())))=1,"",INDIRECT(ADDRESS(35,7))-INDIRECT(ADDRESS(35,6)))</f>
        <v>7</v>
      </c>
      <c r="K5" s="83"/>
      <c r="L5" s="12">
        <f ca="1">IF(COUNT(F5:J5)=0,"",SUM(F5:J5))</f>
        <v>18</v>
      </c>
      <c r="M5" s="94"/>
    </row>
    <row r="6" spans="2:13" ht="21" x14ac:dyDescent="0.25">
      <c r="B6" s="87">
        <v>2</v>
      </c>
      <c r="C6" s="80" t="s">
        <v>126</v>
      </c>
      <c r="D6" s="81"/>
      <c r="E6" s="82"/>
      <c r="F6" s="14" t="str">
        <f ca="1">INDIRECT(ADDRESS(23,7))&amp;":"&amp;INDIRECT(ADDRESS(23,6))</f>
        <v>13:6</v>
      </c>
      <c r="G6" s="15" t="s">
        <v>4</v>
      </c>
      <c r="H6" s="16" t="str">
        <f ca="1">INDIRECT(ADDRESS(31,6))&amp;":"&amp;INDIRECT(ADDRESS(31,7))</f>
        <v>3:13</v>
      </c>
      <c r="I6" s="16" t="str">
        <f ca="1">INDIRECT(ADDRESS(34,7))&amp;":"&amp;INDIRECT(ADDRESS(34,6))</f>
        <v>9:10</v>
      </c>
      <c r="J6" s="17" t="str">
        <f ca="1">INDIRECT(ADDRESS(18,6))&amp;":"&amp;INDIRECT(ADDRESS(18,7))</f>
        <v>6:12</v>
      </c>
      <c r="K6" s="83">
        <f ca="1">IF(COUNT(F7:J7)=0,"",COUNTIF(F7:J7,"&gt;0")+0.5*COUNTIF(F7:J7,0))</f>
        <v>1</v>
      </c>
      <c r="L6" s="12"/>
      <c r="M6" s="94">
        <v>4</v>
      </c>
    </row>
    <row r="7" spans="2:13" ht="21" x14ac:dyDescent="0.25">
      <c r="B7" s="76"/>
      <c r="C7" s="80"/>
      <c r="D7" s="81"/>
      <c r="E7" s="82"/>
      <c r="F7" s="18">
        <f ca="1">IF(LEN(INDIRECT(ADDRESS(ROW()-1, COLUMN())))=1,"",INDIRECT(ADDRESS(23,7))-INDIRECT(ADDRESS(23,6)))</f>
        <v>7</v>
      </c>
      <c r="G7" s="19" t="s">
        <v>4</v>
      </c>
      <c r="H7" s="12">
        <f ca="1">IF(LEN(INDIRECT(ADDRESS(ROW()-1, COLUMN())))=1,"",INDIRECT(ADDRESS(31,6))-INDIRECT(ADDRESS(31,7)))</f>
        <v>-10</v>
      </c>
      <c r="I7" s="12">
        <f ca="1">IF(LEN(INDIRECT(ADDRESS(ROW()-1, COLUMN())))=1,"",INDIRECT(ADDRESS(34,7))-INDIRECT(ADDRESS(34,6)))</f>
        <v>-1</v>
      </c>
      <c r="J7" s="13">
        <f ca="1">IF(LEN(INDIRECT(ADDRESS(ROW()-1, COLUMN())))=1,"",INDIRECT(ADDRESS(18,6))-INDIRECT(ADDRESS(18,7)))</f>
        <v>-6</v>
      </c>
      <c r="K7" s="83"/>
      <c r="L7" s="12">
        <f ca="1">IF(COUNT(F7:J7)=0,"",SUM(F7:J7))</f>
        <v>-10</v>
      </c>
      <c r="M7" s="94"/>
    </row>
    <row r="8" spans="2:13" ht="21" x14ac:dyDescent="0.25">
      <c r="B8" s="87">
        <v>3</v>
      </c>
      <c r="C8" s="80" t="s">
        <v>127</v>
      </c>
      <c r="D8" s="81"/>
      <c r="E8" s="82"/>
      <c r="F8" s="14" t="str">
        <f ca="1">INDIRECT(ADDRESS(26,6))&amp;":"&amp;INDIRECT(ADDRESS(26,7))</f>
        <v>8:13</v>
      </c>
      <c r="G8" s="16" t="str">
        <f ca="1">INDIRECT(ADDRESS(31,7))&amp;":"&amp;INDIRECT(ADDRESS(31,6))</f>
        <v>13:3</v>
      </c>
      <c r="H8" s="15" t="s">
        <v>4</v>
      </c>
      <c r="I8" s="16" t="str">
        <f ca="1">INDIRECT(ADDRESS(19,6))&amp;":"&amp;INDIRECT(ADDRESS(19,7))</f>
        <v>9:13</v>
      </c>
      <c r="J8" s="17" t="str">
        <f ca="1">INDIRECT(ADDRESS(22,7))&amp;":"&amp;INDIRECT(ADDRESS(22,6))</f>
        <v>13:8</v>
      </c>
      <c r="K8" s="83">
        <f ca="1">IF(COUNT(F9:J9)=0,"",COUNTIF(F9:J9,"&gt;0")+0.5*COUNTIF(F9:J9,0))</f>
        <v>2</v>
      </c>
      <c r="L8" s="12"/>
      <c r="M8" s="94">
        <v>3</v>
      </c>
    </row>
    <row r="9" spans="2:13" ht="21" x14ac:dyDescent="0.25">
      <c r="B9" s="76"/>
      <c r="C9" s="80"/>
      <c r="D9" s="81"/>
      <c r="E9" s="82"/>
      <c r="F9" s="18">
        <f ca="1">IF(LEN(INDIRECT(ADDRESS(ROW()-1, COLUMN())))=1,"",INDIRECT(ADDRESS(26,6))-INDIRECT(ADDRESS(26,7)))</f>
        <v>-5</v>
      </c>
      <c r="G9" s="12">
        <f ca="1">IF(LEN(INDIRECT(ADDRESS(ROW()-1, COLUMN())))=1,"",INDIRECT(ADDRESS(31,7))-INDIRECT(ADDRESS(31,6)))</f>
        <v>10</v>
      </c>
      <c r="H9" s="19" t="s">
        <v>4</v>
      </c>
      <c r="I9" s="12">
        <f ca="1">IF(LEN(INDIRECT(ADDRESS(ROW()-1, COLUMN())))=1,"",INDIRECT(ADDRESS(19,6))-INDIRECT(ADDRESS(19,7)))</f>
        <v>-4</v>
      </c>
      <c r="J9" s="13">
        <f ca="1">IF(LEN(INDIRECT(ADDRESS(ROW()-1, COLUMN())))=1,"",INDIRECT(ADDRESS(22,7))-INDIRECT(ADDRESS(22,6)))</f>
        <v>5</v>
      </c>
      <c r="K9" s="83"/>
      <c r="L9" s="12">
        <f ca="1">IF(COUNT(F9:J9)=0,"",SUM(F9:J9))</f>
        <v>6</v>
      </c>
      <c r="M9" s="94"/>
    </row>
    <row r="10" spans="2:13" ht="21" x14ac:dyDescent="0.25">
      <c r="B10" s="87">
        <v>4</v>
      </c>
      <c r="C10" s="110" t="s">
        <v>128</v>
      </c>
      <c r="D10" s="111"/>
      <c r="E10" s="112"/>
      <c r="F10" s="14" t="str">
        <f ca="1">INDIRECT(ADDRESS(30,7))&amp;":"&amp;INDIRECT(ADDRESS(30,6))</f>
        <v>0:13</v>
      </c>
      <c r="G10" s="16" t="str">
        <f ca="1">INDIRECT(ADDRESS(34,6))&amp;":"&amp;INDIRECT(ADDRESS(34,7))</f>
        <v>10:9</v>
      </c>
      <c r="H10" s="16" t="str">
        <f ca="1">INDIRECT(ADDRESS(19,7))&amp;":"&amp;INDIRECT(ADDRESS(19,6))</f>
        <v>13:9</v>
      </c>
      <c r="I10" s="15" t="s">
        <v>4</v>
      </c>
      <c r="J10" s="17" t="str">
        <f ca="1">INDIRECT(ADDRESS(27,6))&amp;":"&amp;INDIRECT(ADDRESS(27,7))</f>
        <v>13:7</v>
      </c>
      <c r="K10" s="83">
        <f ca="1">IF(COUNT(F11:J11)=0,"",COUNTIF(F11:J11,"&gt;0")+0.5*COUNTIF(F11:J11,0))</f>
        <v>3</v>
      </c>
      <c r="L10" s="12"/>
      <c r="M10" s="94">
        <v>2</v>
      </c>
    </row>
    <row r="11" spans="2:13" ht="21" x14ac:dyDescent="0.25">
      <c r="B11" s="76"/>
      <c r="C11" s="110"/>
      <c r="D11" s="111"/>
      <c r="E11" s="112"/>
      <c r="F11" s="18">
        <f ca="1">IF(LEN(INDIRECT(ADDRESS(ROW()-1, COLUMN())))=1,"",INDIRECT(ADDRESS(30,7))-INDIRECT(ADDRESS(30,6)))</f>
        <v>-13</v>
      </c>
      <c r="G11" s="12">
        <f ca="1">IF(LEN(INDIRECT(ADDRESS(ROW()-1, COLUMN())))=1,"",INDIRECT(ADDRESS(34,6))-INDIRECT(ADDRESS(34,7)))</f>
        <v>1</v>
      </c>
      <c r="H11" s="12">
        <f ca="1">IF(LEN(INDIRECT(ADDRESS(ROW()-1, COLUMN())))=1,"",INDIRECT(ADDRESS(19,7))-INDIRECT(ADDRESS(19,6)))</f>
        <v>4</v>
      </c>
      <c r="I11" s="19" t="s">
        <v>4</v>
      </c>
      <c r="J11" s="13">
        <f ca="1">IF(LEN(INDIRECT(ADDRESS(ROW()-1, COLUMN())))=1,"",INDIRECT(ADDRESS(27,6))-INDIRECT(ADDRESS(27,7)))</f>
        <v>6</v>
      </c>
      <c r="K11" s="83"/>
      <c r="L11" s="12">
        <f ca="1">IF(COUNT(F11:J11)=0,"",SUM(F11:J11))</f>
        <v>-2</v>
      </c>
      <c r="M11" s="94"/>
    </row>
    <row r="12" spans="2:13" ht="21" x14ac:dyDescent="0.25">
      <c r="B12" s="87">
        <v>5</v>
      </c>
      <c r="C12" s="80" t="s">
        <v>129</v>
      </c>
      <c r="D12" s="81"/>
      <c r="E12" s="82"/>
      <c r="F12" s="14" t="str">
        <f ca="1">INDIRECT(ADDRESS(35,6))&amp;":"&amp;INDIRECT(ADDRESS(35,7))</f>
        <v>6:13</v>
      </c>
      <c r="G12" s="16" t="str">
        <f ca="1">INDIRECT(ADDRESS(18,7))&amp;":"&amp;INDIRECT(ADDRESS(18,6))</f>
        <v>12:6</v>
      </c>
      <c r="H12" s="16" t="str">
        <f ca="1">INDIRECT(ADDRESS(22,6))&amp;":"&amp;INDIRECT(ADDRESS(22,7))</f>
        <v>8:13</v>
      </c>
      <c r="I12" s="16" t="str">
        <f ca="1">INDIRECT(ADDRESS(27,7))&amp;":"&amp;INDIRECT(ADDRESS(27,6))</f>
        <v>7:13</v>
      </c>
      <c r="J12" s="20" t="s">
        <v>4</v>
      </c>
      <c r="K12" s="83">
        <f ca="1">IF(COUNT(F13:J13)=0,"",COUNTIF(F13:J13,"&gt;0")+0.5*COUNTIF(F13:J13,0))</f>
        <v>1</v>
      </c>
      <c r="L12" s="12"/>
      <c r="M12" s="94">
        <v>5</v>
      </c>
    </row>
    <row r="13" spans="2:13" ht="21.75" thickBot="1" x14ac:dyDescent="0.3">
      <c r="B13" s="88"/>
      <c r="C13" s="89"/>
      <c r="D13" s="90"/>
      <c r="E13" s="91"/>
      <c r="F13" s="21">
        <f ca="1">IF(LEN(INDIRECT(ADDRESS(ROW()-1, COLUMN())))=1,"",INDIRECT(ADDRESS(35,6))-INDIRECT(ADDRESS(35,7)))</f>
        <v>-7</v>
      </c>
      <c r="G13" s="22">
        <f ca="1">IF(LEN(INDIRECT(ADDRESS(ROW()-1, COLUMN())))=1,"",INDIRECT(ADDRESS(18,7))-INDIRECT(ADDRESS(18,6)))</f>
        <v>6</v>
      </c>
      <c r="H13" s="22">
        <f ca="1">IF(LEN(INDIRECT(ADDRESS(ROW()-1, COLUMN())))=1,"",INDIRECT(ADDRESS(22,6))-INDIRECT(ADDRESS(22,7)))</f>
        <v>-5</v>
      </c>
      <c r="I13" s="22">
        <f ca="1">IF(LEN(INDIRECT(ADDRESS(ROW()-1, COLUMN())))=1,"",INDIRECT(ADDRESS(27,7))-INDIRECT(ADDRESS(27,6)))</f>
        <v>-6</v>
      </c>
      <c r="J13" s="23" t="s">
        <v>4</v>
      </c>
      <c r="K13" s="92"/>
      <c r="L13" s="22">
        <f ca="1">IF(COUNT(F13:J13)=0,"",SUM(F13:J13))</f>
        <v>-12</v>
      </c>
      <c r="M13" s="9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5" customFormat="1" ht="21.75" thickBot="1" x14ac:dyDescent="0.4">
      <c r="A17" s="24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40"/>
    </row>
    <row r="18" spans="1:13" s="25" customFormat="1" ht="21.75" thickBot="1" x14ac:dyDescent="0.4">
      <c r="A18" s="24"/>
      <c r="B18" s="26">
        <v>2</v>
      </c>
      <c r="C18" s="84" t="str">
        <f ca="1">IF(ISBLANK(INDIRECT(ADDRESS(B18*2+2,3))),"",INDIRECT(ADDRESS(B18*2+2,3)))</f>
        <v>Сафонова, Папоян</v>
      </c>
      <c r="D18" s="84"/>
      <c r="E18" s="85"/>
      <c r="F18" s="27">
        <v>6</v>
      </c>
      <c r="G18" s="28">
        <v>12</v>
      </c>
      <c r="H18" s="86" t="str">
        <f ca="1">IF(ISBLANK(INDIRECT(ADDRESS(K18*2+2,3))),"",INDIRECT(ADDRESS(K18*2+2,3)))</f>
        <v>Финка, Петраков</v>
      </c>
      <c r="I18" s="84"/>
      <c r="J18" s="84"/>
      <c r="K18" s="26">
        <v>5</v>
      </c>
      <c r="L18" s="29" t="s">
        <v>6</v>
      </c>
      <c r="M18" s="31">
        <v>5</v>
      </c>
    </row>
    <row r="19" spans="1:13" s="25" customFormat="1" ht="21.75" thickBot="1" x14ac:dyDescent="0.4">
      <c r="A19" s="24"/>
      <c r="B19" s="26">
        <v>3</v>
      </c>
      <c r="C19" s="84" t="str">
        <f ca="1">IF(ISBLANK(INDIRECT(ADDRESS(B19*2+2,3))),"",INDIRECT(ADDRESS(B19*2+2,3)))</f>
        <v>Мурашова, Воронов</v>
      </c>
      <c r="D19" s="84"/>
      <c r="E19" s="85"/>
      <c r="F19" s="27">
        <v>9</v>
      </c>
      <c r="G19" s="28">
        <v>13</v>
      </c>
      <c r="H19" s="86" t="str">
        <f ca="1">IF(ISBLANK(INDIRECT(ADDRESS(K19*2+2,3))),"",INDIRECT(ADDRESS(K19*2+2,3)))</f>
        <v>Кузнецова Л., Педченко</v>
      </c>
      <c r="I19" s="84"/>
      <c r="J19" s="84"/>
      <c r="K19" s="26">
        <v>4</v>
      </c>
      <c r="L19" s="29" t="s">
        <v>6</v>
      </c>
      <c r="M19" s="31">
        <v>6</v>
      </c>
    </row>
    <row r="20" spans="1:13" s="25" customFormat="1" ht="21" x14ac:dyDescent="0.35">
      <c r="A20" s="24"/>
      <c r="M20" s="30"/>
    </row>
    <row r="21" spans="1:13" s="25" customFormat="1" ht="21.75" thickBot="1" x14ac:dyDescent="0.4">
      <c r="A21" s="24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0"/>
    </row>
    <row r="22" spans="1:13" s="25" customFormat="1" ht="21.75" thickBot="1" x14ac:dyDescent="0.4">
      <c r="A22" s="24"/>
      <c r="B22" s="26">
        <v>5</v>
      </c>
      <c r="C22" s="84" t="str">
        <f ca="1">IF(ISBLANK(INDIRECT(ADDRESS(B22*2+2,3))),"",INDIRECT(ADDRESS(B22*2+2,3)))</f>
        <v>Финка, Петраков</v>
      </c>
      <c r="D22" s="84"/>
      <c r="E22" s="85"/>
      <c r="F22" s="27">
        <v>8</v>
      </c>
      <c r="G22" s="28">
        <v>13</v>
      </c>
      <c r="H22" s="86" t="str">
        <f ca="1">IF(ISBLANK(INDIRECT(ADDRESS(K22*2+2,3))),"",INDIRECT(ADDRESS(K22*2+2,3)))</f>
        <v>Мурашова, Воронов</v>
      </c>
      <c r="I22" s="84"/>
      <c r="J22" s="84"/>
      <c r="K22" s="26">
        <v>3</v>
      </c>
      <c r="L22" s="29" t="s">
        <v>6</v>
      </c>
      <c r="M22" s="31">
        <v>7</v>
      </c>
    </row>
    <row r="23" spans="1:13" s="25" customFormat="1" ht="21.75" thickBot="1" x14ac:dyDescent="0.4">
      <c r="A23" s="24"/>
      <c r="B23" s="26">
        <v>1</v>
      </c>
      <c r="C23" s="84" t="str">
        <f ca="1">IF(ISBLANK(INDIRECT(ADDRESS(B23*2+2,3))),"",INDIRECT(ADDRESS(B23*2+2,3)))</f>
        <v>Петрушко</v>
      </c>
      <c r="D23" s="84"/>
      <c r="E23" s="85"/>
      <c r="F23" s="27">
        <v>6</v>
      </c>
      <c r="G23" s="28">
        <v>13</v>
      </c>
      <c r="H23" s="86" t="str">
        <f ca="1">IF(ISBLANK(INDIRECT(ADDRESS(K23*2+2,3))),"",INDIRECT(ADDRESS(K23*2+2,3)))</f>
        <v>Сафонова, Папоян</v>
      </c>
      <c r="I23" s="84"/>
      <c r="J23" s="84"/>
      <c r="K23" s="26">
        <v>2</v>
      </c>
      <c r="L23" s="29" t="s">
        <v>6</v>
      </c>
      <c r="M23" s="31">
        <v>8</v>
      </c>
    </row>
    <row r="24" spans="1:13" s="25" customFormat="1" ht="21" x14ac:dyDescent="0.35">
      <c r="A24" s="24"/>
      <c r="M24" s="30"/>
    </row>
    <row r="25" spans="1:13" s="25" customFormat="1" ht="21.75" thickBot="1" x14ac:dyDescent="0.4">
      <c r="A25" s="24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0"/>
    </row>
    <row r="26" spans="1:13" s="25" customFormat="1" ht="21.75" thickBot="1" x14ac:dyDescent="0.4">
      <c r="A26" s="24"/>
      <c r="B26" s="26">
        <v>3</v>
      </c>
      <c r="C26" s="84" t="str">
        <f ca="1">IF(ISBLANK(INDIRECT(ADDRESS(B26*2+2,3))),"",INDIRECT(ADDRESS(B26*2+2,3)))</f>
        <v>Мурашова, Воронов</v>
      </c>
      <c r="D26" s="84"/>
      <c r="E26" s="85"/>
      <c r="F26" s="27">
        <v>8</v>
      </c>
      <c r="G26" s="28">
        <v>13</v>
      </c>
      <c r="H26" s="86" t="str">
        <f ca="1">IF(ISBLANK(INDIRECT(ADDRESS(K26*2+2,3))),"",INDIRECT(ADDRESS(K26*2+2,3)))</f>
        <v>Петрушко</v>
      </c>
      <c r="I26" s="84"/>
      <c r="J26" s="84"/>
      <c r="K26" s="26">
        <v>1</v>
      </c>
      <c r="L26" s="29" t="s">
        <v>6</v>
      </c>
      <c r="M26" s="31">
        <v>9</v>
      </c>
    </row>
    <row r="27" spans="1:13" s="25" customFormat="1" ht="21.75" thickBot="1" x14ac:dyDescent="0.4">
      <c r="A27" s="24"/>
      <c r="B27" s="26">
        <v>4</v>
      </c>
      <c r="C27" s="84" t="str">
        <f ca="1">IF(ISBLANK(INDIRECT(ADDRESS(B27*2+2,3))),"",INDIRECT(ADDRESS(B27*2+2,3)))</f>
        <v>Кузнецова Л., Педченко</v>
      </c>
      <c r="D27" s="84"/>
      <c r="E27" s="85"/>
      <c r="F27" s="27">
        <v>13</v>
      </c>
      <c r="G27" s="28">
        <v>7</v>
      </c>
      <c r="H27" s="86" t="str">
        <f ca="1">IF(ISBLANK(INDIRECT(ADDRESS(K27*2+2,3))),"",INDIRECT(ADDRESS(K27*2+2,3)))</f>
        <v>Финка, Петраков</v>
      </c>
      <c r="I27" s="84"/>
      <c r="J27" s="84"/>
      <c r="K27" s="26">
        <v>5</v>
      </c>
      <c r="L27" s="29" t="s">
        <v>6</v>
      </c>
      <c r="M27" s="31">
        <v>10</v>
      </c>
    </row>
    <row r="28" spans="1:13" s="25" customFormat="1" ht="21" x14ac:dyDescent="0.35">
      <c r="A28" s="24"/>
      <c r="M28" s="30"/>
    </row>
    <row r="29" spans="1:13" s="25" customFormat="1" ht="21.75" thickBot="1" x14ac:dyDescent="0.4">
      <c r="A29" s="24"/>
      <c r="B29" s="70" t="s">
        <v>10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21.75" thickBot="1" x14ac:dyDescent="0.4">
      <c r="A30" s="24"/>
      <c r="B30" s="26">
        <v>1</v>
      </c>
      <c r="C30" s="84" t="str">
        <f ca="1">IF(ISBLANK(INDIRECT(ADDRESS(B30*2+2,3))),"",INDIRECT(ADDRESS(B30*2+2,3)))</f>
        <v>Петрушко</v>
      </c>
      <c r="D30" s="84"/>
      <c r="E30" s="85"/>
      <c r="F30" s="27">
        <v>13</v>
      </c>
      <c r="G30" s="28">
        <v>0</v>
      </c>
      <c r="H30" s="86" t="str">
        <f ca="1">IF(ISBLANK(INDIRECT(ADDRESS(K30*2+2,3))),"",INDIRECT(ADDRESS(K30*2+2,3)))</f>
        <v>Кузнецова Л., Педченко</v>
      </c>
      <c r="I30" s="84"/>
      <c r="J30" s="84"/>
      <c r="K30" s="26">
        <v>4</v>
      </c>
      <c r="L30" s="29" t="s">
        <v>6</v>
      </c>
      <c r="M30" s="31">
        <v>3</v>
      </c>
    </row>
    <row r="31" spans="1:13" s="25" customFormat="1" ht="21.75" thickBot="1" x14ac:dyDescent="0.4">
      <c r="A31" s="24"/>
      <c r="B31" s="26">
        <v>2</v>
      </c>
      <c r="C31" s="84" t="str">
        <f ca="1">IF(ISBLANK(INDIRECT(ADDRESS(B31*2+2,3))),"",INDIRECT(ADDRESS(B31*2+2,3)))</f>
        <v>Сафонова, Папоян</v>
      </c>
      <c r="D31" s="84"/>
      <c r="E31" s="85"/>
      <c r="F31" s="27">
        <v>3</v>
      </c>
      <c r="G31" s="28">
        <v>13</v>
      </c>
      <c r="H31" s="86" t="str">
        <f ca="1">IF(ISBLANK(INDIRECT(ADDRESS(K31*2+2,3))),"",INDIRECT(ADDRESS(K31*2+2,3)))</f>
        <v>Мурашова, Воронов</v>
      </c>
      <c r="I31" s="84"/>
      <c r="J31" s="84"/>
      <c r="K31" s="26">
        <v>3</v>
      </c>
      <c r="L31" s="29" t="s">
        <v>6</v>
      </c>
      <c r="M31" s="31">
        <v>4</v>
      </c>
    </row>
    <row r="32" spans="1:13" s="25" customFormat="1" ht="21" x14ac:dyDescent="0.35">
      <c r="A32" s="24"/>
      <c r="M32" s="30"/>
    </row>
    <row r="33" spans="1:13" s="25" customFormat="1" ht="21.75" thickBot="1" x14ac:dyDescent="0.4">
      <c r="A33" s="24"/>
      <c r="B33" s="70" t="s">
        <v>11</v>
      </c>
      <c r="C33" s="70"/>
      <c r="D33" s="70"/>
      <c r="E33" s="70"/>
      <c r="F33" s="70"/>
      <c r="G33" s="70"/>
      <c r="H33" s="70"/>
      <c r="I33" s="70"/>
      <c r="J33" s="70"/>
      <c r="K33" s="70"/>
      <c r="M33" s="30"/>
    </row>
    <row r="34" spans="1:13" s="25" customFormat="1" ht="21.75" thickBot="1" x14ac:dyDescent="0.4">
      <c r="A34" s="24"/>
      <c r="B34" s="26">
        <v>4</v>
      </c>
      <c r="C34" s="84" t="str">
        <f ca="1">IF(ISBLANK(INDIRECT(ADDRESS(B34*2+2,3))),"",INDIRECT(ADDRESS(B34*2+2,3)))</f>
        <v>Кузнецова Л., Педченко</v>
      </c>
      <c r="D34" s="84"/>
      <c r="E34" s="85"/>
      <c r="F34" s="27">
        <v>10</v>
      </c>
      <c r="G34" s="28">
        <v>9</v>
      </c>
      <c r="H34" s="86" t="str">
        <f ca="1">IF(ISBLANK(INDIRECT(ADDRESS(K34*2+2,3))),"",INDIRECT(ADDRESS(K34*2+2,3)))</f>
        <v>Сафонова, Папоян</v>
      </c>
      <c r="I34" s="84"/>
      <c r="J34" s="84"/>
      <c r="K34" s="26">
        <v>2</v>
      </c>
      <c r="L34" s="29" t="s">
        <v>6</v>
      </c>
      <c r="M34" s="31">
        <v>5</v>
      </c>
    </row>
    <row r="35" spans="1:13" s="25" customFormat="1" ht="21.75" thickBot="1" x14ac:dyDescent="0.4">
      <c r="A35" s="24"/>
      <c r="B35" s="26">
        <v>5</v>
      </c>
      <c r="C35" s="84" t="str">
        <f ca="1">IF(ISBLANK(INDIRECT(ADDRESS(B35*2+2,3))),"",INDIRECT(ADDRESS(B35*2+2,3)))</f>
        <v>Финка, Петраков</v>
      </c>
      <c r="D35" s="84"/>
      <c r="E35" s="85"/>
      <c r="F35" s="27">
        <v>6</v>
      </c>
      <c r="G35" s="28">
        <v>13</v>
      </c>
      <c r="H35" s="86" t="str">
        <f ca="1">IF(ISBLANK(INDIRECT(ADDRESS(K35*2+2,3))),"",INDIRECT(ADDRESS(K35*2+2,3)))</f>
        <v>Петрушко</v>
      </c>
      <c r="I35" s="84"/>
      <c r="J35" s="84"/>
      <c r="K35" s="26">
        <v>1</v>
      </c>
      <c r="L35" s="29" t="s">
        <v>6</v>
      </c>
      <c r="M35" s="31">
        <v>6</v>
      </c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5" sqref="O15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6" customHeight="1" x14ac:dyDescent="0.25">
      <c r="B1" s="104" t="s">
        <v>15</v>
      </c>
      <c r="C1" s="104"/>
      <c r="D1" s="104"/>
      <c r="E1" s="104"/>
      <c r="F1" s="104"/>
      <c r="G1" s="104"/>
      <c r="H1" s="104"/>
      <c r="I1" s="104"/>
      <c r="J1" s="104"/>
      <c r="K1" s="104"/>
      <c r="M1"/>
    </row>
    <row r="2" spans="2:13" ht="15.75" thickBot="1" x14ac:dyDescent="0.3">
      <c r="M2"/>
    </row>
    <row r="3" spans="2:13" ht="30" customHeight="1" thickBot="1" x14ac:dyDescent="0.3">
      <c r="B3" s="48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48" t="s">
        <v>1</v>
      </c>
      <c r="L3" s="4" t="s">
        <v>2</v>
      </c>
      <c r="M3" s="6" t="s">
        <v>3</v>
      </c>
    </row>
    <row r="4" spans="2:13" ht="24" customHeight="1" x14ac:dyDescent="0.25">
      <c r="B4" s="75">
        <v>1</v>
      </c>
      <c r="C4" s="77" t="s">
        <v>130</v>
      </c>
      <c r="D4" s="78"/>
      <c r="E4" s="79"/>
      <c r="F4" s="7" t="s">
        <v>4</v>
      </c>
      <c r="G4" s="8" t="str">
        <f ca="1">INDIRECT(ADDRESS(23,6))&amp;":"&amp;INDIRECT(ADDRESS(23,7))</f>
        <v>8:13</v>
      </c>
      <c r="H4" s="8" t="str">
        <f ca="1">INDIRECT(ADDRESS(26,7))&amp;":"&amp;INDIRECT(ADDRESS(26,6))</f>
        <v>4:10</v>
      </c>
      <c r="I4" s="8" t="str">
        <f ca="1">INDIRECT(ADDRESS(30,6))&amp;":"&amp;INDIRECT(ADDRESS(30,7))</f>
        <v>13:6</v>
      </c>
      <c r="J4" s="9" t="str">
        <f ca="1">INDIRECT(ADDRESS(35,7))&amp;":"&amp;INDIRECT(ADDRESS(35,6))</f>
        <v>1:13</v>
      </c>
      <c r="K4" s="95">
        <f ca="1">IF(COUNT(F5:J5)=0,"",COUNTIF(F5:J5,"&gt;0")+0.5*COUNTIF(F5:J5,0))</f>
        <v>1</v>
      </c>
      <c r="L4" s="10"/>
      <c r="M4" s="93">
        <v>4</v>
      </c>
    </row>
    <row r="5" spans="2:13" ht="24" customHeight="1" x14ac:dyDescent="0.25">
      <c r="B5" s="76"/>
      <c r="C5" s="80"/>
      <c r="D5" s="81"/>
      <c r="E5" s="82"/>
      <c r="F5" s="11" t="s">
        <v>4</v>
      </c>
      <c r="G5" s="12">
        <f ca="1">IF(LEN(INDIRECT(ADDRESS(ROW()-1, COLUMN())))=1,"",INDIRECT(ADDRESS(23,6))-INDIRECT(ADDRESS(23,7)))</f>
        <v>-5</v>
      </c>
      <c r="H5" s="12">
        <f ca="1">IF(LEN(INDIRECT(ADDRESS(ROW()-1, COLUMN())))=1,"",INDIRECT(ADDRESS(26,7))-INDIRECT(ADDRESS(26,6)))</f>
        <v>-6</v>
      </c>
      <c r="I5" s="12">
        <f ca="1">IF(LEN(INDIRECT(ADDRESS(ROW()-1, COLUMN())))=1,"",INDIRECT(ADDRESS(30,6))-INDIRECT(ADDRESS(30,7)))</f>
        <v>7</v>
      </c>
      <c r="J5" s="13">
        <f ca="1">IF(LEN(INDIRECT(ADDRESS(ROW()-1, COLUMN())))=1,"",INDIRECT(ADDRESS(35,7))-INDIRECT(ADDRESS(35,6)))</f>
        <v>-12</v>
      </c>
      <c r="K5" s="83"/>
      <c r="L5" s="12">
        <f ca="1">IF(COUNT(F5:J5)=0,"",SUM(F5:J5))</f>
        <v>-16</v>
      </c>
      <c r="M5" s="94"/>
    </row>
    <row r="6" spans="2:13" ht="24" customHeight="1" x14ac:dyDescent="0.25">
      <c r="B6" s="87">
        <v>2</v>
      </c>
      <c r="C6" s="110" t="s">
        <v>131</v>
      </c>
      <c r="D6" s="111"/>
      <c r="E6" s="112"/>
      <c r="F6" s="14" t="str">
        <f ca="1">INDIRECT(ADDRESS(23,7))&amp;":"&amp;INDIRECT(ADDRESS(23,6))</f>
        <v>13:8</v>
      </c>
      <c r="G6" s="15" t="s">
        <v>4</v>
      </c>
      <c r="H6" s="16" t="str">
        <f ca="1">INDIRECT(ADDRESS(31,6))&amp;":"&amp;INDIRECT(ADDRESS(31,7))</f>
        <v>8:11</v>
      </c>
      <c r="I6" s="16" t="str">
        <f ca="1">INDIRECT(ADDRESS(34,7))&amp;":"&amp;INDIRECT(ADDRESS(34,6))</f>
        <v>13:8</v>
      </c>
      <c r="J6" s="17" t="str">
        <f ca="1">INDIRECT(ADDRESS(18,6))&amp;":"&amp;INDIRECT(ADDRESS(18,7))</f>
        <v>13:3</v>
      </c>
      <c r="K6" s="83">
        <f ca="1">IF(COUNT(F7:J7)=0,"",COUNTIF(F7:J7,"&gt;0")+0.5*COUNTIF(F7:J7,0))</f>
        <v>3</v>
      </c>
      <c r="L6" s="12"/>
      <c r="M6" s="94">
        <v>2</v>
      </c>
    </row>
    <row r="7" spans="2:13" ht="24" customHeight="1" x14ac:dyDescent="0.25">
      <c r="B7" s="76"/>
      <c r="C7" s="110"/>
      <c r="D7" s="111"/>
      <c r="E7" s="112"/>
      <c r="F7" s="18">
        <f ca="1">IF(LEN(INDIRECT(ADDRESS(ROW()-1, COLUMN())))=1,"",INDIRECT(ADDRESS(23,7))-INDIRECT(ADDRESS(23,6)))</f>
        <v>5</v>
      </c>
      <c r="G7" s="19" t="s">
        <v>4</v>
      </c>
      <c r="H7" s="12">
        <f ca="1">IF(LEN(INDIRECT(ADDRESS(ROW()-1, COLUMN())))=1,"",INDIRECT(ADDRESS(31,6))-INDIRECT(ADDRESS(31,7)))</f>
        <v>-3</v>
      </c>
      <c r="I7" s="12">
        <f ca="1">IF(LEN(INDIRECT(ADDRESS(ROW()-1, COLUMN())))=1,"",INDIRECT(ADDRESS(34,7))-INDIRECT(ADDRESS(34,6)))</f>
        <v>5</v>
      </c>
      <c r="J7" s="13">
        <f ca="1">IF(LEN(INDIRECT(ADDRESS(ROW()-1, COLUMN())))=1,"",INDIRECT(ADDRESS(18,6))-INDIRECT(ADDRESS(18,7)))</f>
        <v>10</v>
      </c>
      <c r="K7" s="83"/>
      <c r="L7" s="12">
        <f ca="1">IF(COUNT(F7:J7)=0,"",SUM(F7:J7))</f>
        <v>17</v>
      </c>
      <c r="M7" s="94"/>
    </row>
    <row r="8" spans="2:13" ht="24" customHeight="1" x14ac:dyDescent="0.25">
      <c r="B8" s="87">
        <v>3</v>
      </c>
      <c r="C8" s="110" t="s">
        <v>132</v>
      </c>
      <c r="D8" s="111"/>
      <c r="E8" s="112"/>
      <c r="F8" s="14" t="str">
        <f ca="1">INDIRECT(ADDRESS(26,6))&amp;":"&amp;INDIRECT(ADDRESS(26,7))</f>
        <v>10:4</v>
      </c>
      <c r="G8" s="16" t="str">
        <f ca="1">INDIRECT(ADDRESS(31,7))&amp;":"&amp;INDIRECT(ADDRESS(31,6))</f>
        <v>11:8</v>
      </c>
      <c r="H8" s="15" t="s">
        <v>4</v>
      </c>
      <c r="I8" s="16" t="str">
        <f ca="1">INDIRECT(ADDRESS(19,6))&amp;":"&amp;INDIRECT(ADDRESS(19,7))</f>
        <v>13:7</v>
      </c>
      <c r="J8" s="17" t="str">
        <f ca="1">INDIRECT(ADDRESS(22,7))&amp;":"&amp;INDIRECT(ADDRESS(22,6))</f>
        <v>9:5</v>
      </c>
      <c r="K8" s="83">
        <f ca="1">IF(COUNT(F9:J9)=0,"",COUNTIF(F9:J9,"&gt;0")+0.5*COUNTIF(F9:J9,0))</f>
        <v>4</v>
      </c>
      <c r="L8" s="12"/>
      <c r="M8" s="94">
        <v>1</v>
      </c>
    </row>
    <row r="9" spans="2:13" ht="24" customHeight="1" x14ac:dyDescent="0.25">
      <c r="B9" s="76"/>
      <c r="C9" s="110"/>
      <c r="D9" s="111"/>
      <c r="E9" s="112"/>
      <c r="F9" s="18">
        <f ca="1">IF(LEN(INDIRECT(ADDRESS(ROW()-1, COLUMN())))=1,"",INDIRECT(ADDRESS(26,6))-INDIRECT(ADDRESS(26,7)))</f>
        <v>6</v>
      </c>
      <c r="G9" s="12">
        <f ca="1">IF(LEN(INDIRECT(ADDRESS(ROW()-1, COLUMN())))=1,"",INDIRECT(ADDRESS(31,7))-INDIRECT(ADDRESS(31,6)))</f>
        <v>3</v>
      </c>
      <c r="H9" s="19" t="s">
        <v>4</v>
      </c>
      <c r="I9" s="12">
        <f ca="1">IF(LEN(INDIRECT(ADDRESS(ROW()-1, COLUMN())))=1,"",INDIRECT(ADDRESS(19,6))-INDIRECT(ADDRESS(19,7)))</f>
        <v>6</v>
      </c>
      <c r="J9" s="13">
        <f ca="1">IF(LEN(INDIRECT(ADDRESS(ROW()-1, COLUMN())))=1,"",INDIRECT(ADDRESS(22,7))-INDIRECT(ADDRESS(22,6)))</f>
        <v>4</v>
      </c>
      <c r="K9" s="83"/>
      <c r="L9" s="12">
        <f ca="1">IF(COUNT(F9:J9)=0,"",SUM(F9:J9))</f>
        <v>19</v>
      </c>
      <c r="M9" s="94"/>
    </row>
    <row r="10" spans="2:13" ht="24" customHeight="1" x14ac:dyDescent="0.25">
      <c r="B10" s="87">
        <v>4</v>
      </c>
      <c r="C10" s="80" t="s">
        <v>133</v>
      </c>
      <c r="D10" s="81"/>
      <c r="E10" s="82"/>
      <c r="F10" s="14" t="str">
        <f ca="1">INDIRECT(ADDRESS(30,7))&amp;":"&amp;INDIRECT(ADDRESS(30,6))</f>
        <v>6:13</v>
      </c>
      <c r="G10" s="16" t="str">
        <f ca="1">INDIRECT(ADDRESS(34,6))&amp;":"&amp;INDIRECT(ADDRESS(34,7))</f>
        <v>8:13</v>
      </c>
      <c r="H10" s="16" t="str">
        <f ca="1">INDIRECT(ADDRESS(19,7))&amp;":"&amp;INDIRECT(ADDRESS(19,6))</f>
        <v>7:13</v>
      </c>
      <c r="I10" s="15" t="s">
        <v>4</v>
      </c>
      <c r="J10" s="17" t="str">
        <f ca="1">INDIRECT(ADDRESS(27,6))&amp;":"&amp;INDIRECT(ADDRESS(27,7))</f>
        <v>9:8</v>
      </c>
      <c r="K10" s="83">
        <f ca="1">IF(COUNT(F11:J11)=0,"",COUNTIF(F11:J11,"&gt;0")+0.5*COUNTIF(F11:J11,0))</f>
        <v>1</v>
      </c>
      <c r="L10" s="12"/>
      <c r="M10" s="94">
        <v>5</v>
      </c>
    </row>
    <row r="11" spans="2:13" ht="24" customHeight="1" x14ac:dyDescent="0.25">
      <c r="B11" s="76"/>
      <c r="C11" s="80"/>
      <c r="D11" s="81"/>
      <c r="E11" s="82"/>
      <c r="F11" s="18">
        <f ca="1">IF(LEN(INDIRECT(ADDRESS(ROW()-1, COLUMN())))=1,"",INDIRECT(ADDRESS(30,7))-INDIRECT(ADDRESS(30,6)))</f>
        <v>-7</v>
      </c>
      <c r="G11" s="12">
        <f ca="1">IF(LEN(INDIRECT(ADDRESS(ROW()-1, COLUMN())))=1,"",INDIRECT(ADDRESS(34,6))-INDIRECT(ADDRESS(34,7)))</f>
        <v>-5</v>
      </c>
      <c r="H11" s="12">
        <f ca="1">IF(LEN(INDIRECT(ADDRESS(ROW()-1, COLUMN())))=1,"",INDIRECT(ADDRESS(19,7))-INDIRECT(ADDRESS(19,6)))</f>
        <v>-6</v>
      </c>
      <c r="I11" s="19" t="s">
        <v>4</v>
      </c>
      <c r="J11" s="13">
        <f ca="1">IF(LEN(INDIRECT(ADDRESS(ROW()-1, COLUMN())))=1,"",INDIRECT(ADDRESS(27,6))-INDIRECT(ADDRESS(27,7)))</f>
        <v>1</v>
      </c>
      <c r="K11" s="83"/>
      <c r="L11" s="12">
        <f ca="1">IF(COUNT(F11:J11)=0,"",SUM(F11:J11))</f>
        <v>-17</v>
      </c>
      <c r="M11" s="94"/>
    </row>
    <row r="12" spans="2:13" ht="24" customHeight="1" x14ac:dyDescent="0.25">
      <c r="B12" s="87">
        <v>5</v>
      </c>
      <c r="C12" s="80" t="s">
        <v>134</v>
      </c>
      <c r="D12" s="81"/>
      <c r="E12" s="82"/>
      <c r="F12" s="14" t="str">
        <f ca="1">INDIRECT(ADDRESS(35,6))&amp;":"&amp;INDIRECT(ADDRESS(35,7))</f>
        <v>13:1</v>
      </c>
      <c r="G12" s="16" t="str">
        <f ca="1">INDIRECT(ADDRESS(18,7))&amp;":"&amp;INDIRECT(ADDRESS(18,6))</f>
        <v>3:13</v>
      </c>
      <c r="H12" s="16" t="str">
        <f ca="1">INDIRECT(ADDRESS(22,6))&amp;":"&amp;INDIRECT(ADDRESS(22,7))</f>
        <v>5:9</v>
      </c>
      <c r="I12" s="16" t="str">
        <f ca="1">INDIRECT(ADDRESS(27,7))&amp;":"&amp;INDIRECT(ADDRESS(27,6))</f>
        <v>8:9</v>
      </c>
      <c r="J12" s="20" t="s">
        <v>4</v>
      </c>
      <c r="K12" s="83">
        <f ca="1">IF(COUNT(F13:J13)=0,"",COUNTIF(F13:J13,"&gt;0")+0.5*COUNTIF(F13:J13,0))</f>
        <v>1</v>
      </c>
      <c r="L12" s="12"/>
      <c r="M12" s="94">
        <v>3</v>
      </c>
    </row>
    <row r="13" spans="2:13" ht="24" customHeight="1" thickBot="1" x14ac:dyDescent="0.3">
      <c r="B13" s="88"/>
      <c r="C13" s="89"/>
      <c r="D13" s="90"/>
      <c r="E13" s="91"/>
      <c r="F13" s="21">
        <f ca="1">IF(LEN(INDIRECT(ADDRESS(ROW()-1, COLUMN())))=1,"",INDIRECT(ADDRESS(35,6))-INDIRECT(ADDRESS(35,7)))</f>
        <v>12</v>
      </c>
      <c r="G13" s="22">
        <f ca="1">IF(LEN(INDIRECT(ADDRESS(ROW()-1, COLUMN())))=1,"",INDIRECT(ADDRESS(18,7))-INDIRECT(ADDRESS(18,6)))</f>
        <v>-10</v>
      </c>
      <c r="H13" s="22">
        <f ca="1">IF(LEN(INDIRECT(ADDRESS(ROW()-1, COLUMN())))=1,"",INDIRECT(ADDRESS(22,6))-INDIRECT(ADDRESS(22,7)))</f>
        <v>-4</v>
      </c>
      <c r="I13" s="22">
        <f ca="1">IF(LEN(INDIRECT(ADDRESS(ROW()-1, COLUMN())))=1,"",INDIRECT(ADDRESS(27,7))-INDIRECT(ADDRESS(27,6)))</f>
        <v>-1</v>
      </c>
      <c r="J13" s="23" t="s">
        <v>4</v>
      </c>
      <c r="K13" s="92"/>
      <c r="L13" s="22">
        <f ca="1">IF(COUNT(F13:J13)=0,"",SUM(F13:J13))</f>
        <v>-3</v>
      </c>
      <c r="M13" s="9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5" customFormat="1" ht="30" customHeight="1" thickBot="1" x14ac:dyDescent="0.4">
      <c r="A17" s="24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40"/>
    </row>
    <row r="18" spans="1:13" s="25" customFormat="1" ht="30" customHeight="1" thickBot="1" x14ac:dyDescent="0.4">
      <c r="A18" s="24"/>
      <c r="B18" s="26">
        <v>2</v>
      </c>
      <c r="C18" s="84" t="str">
        <f ca="1">IF(ISBLANK(INDIRECT(ADDRESS(B18*2+2,3))),"",INDIRECT(ADDRESS(B18*2+2,3)))</f>
        <v>Бублик, Гаджиев</v>
      </c>
      <c r="D18" s="84"/>
      <c r="E18" s="85"/>
      <c r="F18" s="27">
        <v>13</v>
      </c>
      <c r="G18" s="28">
        <v>3</v>
      </c>
      <c r="H18" s="86" t="str">
        <f ca="1">IF(ISBLANK(INDIRECT(ADDRESS(K18*2+2,3))),"",INDIRECT(ADDRESS(K18*2+2,3)))</f>
        <v>Пименова, Смирнов</v>
      </c>
      <c r="I18" s="84"/>
      <c r="J18" s="84"/>
      <c r="K18" s="26">
        <v>5</v>
      </c>
      <c r="L18" s="29" t="s">
        <v>6</v>
      </c>
      <c r="M18" s="47">
        <v>7</v>
      </c>
    </row>
    <row r="19" spans="1:13" s="25" customFormat="1" ht="30" customHeight="1" thickBot="1" x14ac:dyDescent="0.4">
      <c r="A19" s="24"/>
      <c r="B19" s="26">
        <v>3</v>
      </c>
      <c r="C19" s="84" t="str">
        <f ca="1">IF(ISBLANK(INDIRECT(ADDRESS(B19*2+2,3))),"",INDIRECT(ADDRESS(B19*2+2,3)))</f>
        <v>Лукьянова, Рядовиков</v>
      </c>
      <c r="D19" s="84"/>
      <c r="E19" s="85"/>
      <c r="F19" s="27">
        <v>13</v>
      </c>
      <c r="G19" s="28">
        <v>7</v>
      </c>
      <c r="H19" s="86" t="str">
        <f ca="1">IF(ISBLANK(INDIRECT(ADDRESS(K19*2+2,3))),"",INDIRECT(ADDRESS(K19*2+2,3)))</f>
        <v>Коргунова, Энжольрас</v>
      </c>
      <c r="I19" s="84"/>
      <c r="J19" s="84"/>
      <c r="K19" s="26">
        <v>4</v>
      </c>
      <c r="L19" s="29" t="s">
        <v>6</v>
      </c>
      <c r="M19" s="47">
        <v>8</v>
      </c>
    </row>
    <row r="20" spans="1:13" s="25" customFormat="1" ht="30" customHeight="1" x14ac:dyDescent="0.35">
      <c r="A20" s="24"/>
      <c r="M20" s="30"/>
    </row>
    <row r="21" spans="1:13" s="25" customFormat="1" ht="30" customHeight="1" thickBot="1" x14ac:dyDescent="0.4">
      <c r="A21" s="24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0"/>
    </row>
    <row r="22" spans="1:13" s="25" customFormat="1" ht="30" customHeight="1" thickBot="1" x14ac:dyDescent="0.4">
      <c r="A22" s="24"/>
      <c r="B22" s="26">
        <v>5</v>
      </c>
      <c r="C22" s="84" t="str">
        <f ca="1">IF(ISBLANK(INDIRECT(ADDRESS(B22*2+2,3))),"",INDIRECT(ADDRESS(B22*2+2,3)))</f>
        <v>Пименова, Смирнов</v>
      </c>
      <c r="D22" s="84"/>
      <c r="E22" s="85"/>
      <c r="F22" s="27">
        <v>5</v>
      </c>
      <c r="G22" s="28">
        <v>9</v>
      </c>
      <c r="H22" s="86" t="str">
        <f ca="1">IF(ISBLANK(INDIRECT(ADDRESS(K22*2+2,3))),"",INDIRECT(ADDRESS(K22*2+2,3)))</f>
        <v>Лукьянова, Рядовиков</v>
      </c>
      <c r="I22" s="84"/>
      <c r="J22" s="84"/>
      <c r="K22" s="26">
        <v>3</v>
      </c>
      <c r="L22" s="29" t="s">
        <v>6</v>
      </c>
      <c r="M22" s="47">
        <v>1</v>
      </c>
    </row>
    <row r="23" spans="1:13" s="25" customFormat="1" ht="30" customHeight="1" thickBot="1" x14ac:dyDescent="0.4">
      <c r="A23" s="24"/>
      <c r="B23" s="26">
        <v>1</v>
      </c>
      <c r="C23" s="84" t="str">
        <f ca="1">IF(ISBLANK(INDIRECT(ADDRESS(B23*2+2,3))),"",INDIRECT(ADDRESS(B23*2+2,3)))</f>
        <v>Голубева, Ницинский</v>
      </c>
      <c r="D23" s="84"/>
      <c r="E23" s="85"/>
      <c r="F23" s="27">
        <v>8</v>
      </c>
      <c r="G23" s="28">
        <v>13</v>
      </c>
      <c r="H23" s="86" t="str">
        <f ca="1">IF(ISBLANK(INDIRECT(ADDRESS(K23*2+2,3))),"",INDIRECT(ADDRESS(K23*2+2,3)))</f>
        <v>Бублик, Гаджиев</v>
      </c>
      <c r="I23" s="84"/>
      <c r="J23" s="84"/>
      <c r="K23" s="26">
        <v>2</v>
      </c>
      <c r="L23" s="29" t="s">
        <v>6</v>
      </c>
      <c r="M23" s="47">
        <v>2</v>
      </c>
    </row>
    <row r="24" spans="1:13" s="25" customFormat="1" ht="30" customHeight="1" x14ac:dyDescent="0.35">
      <c r="A24" s="24"/>
      <c r="M24" s="30"/>
    </row>
    <row r="25" spans="1:13" s="25" customFormat="1" ht="30" customHeight="1" thickBot="1" x14ac:dyDescent="0.4">
      <c r="A25" s="24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0"/>
    </row>
    <row r="26" spans="1:13" s="25" customFormat="1" ht="30" customHeight="1" thickBot="1" x14ac:dyDescent="0.4">
      <c r="A26" s="24"/>
      <c r="B26" s="26">
        <v>3</v>
      </c>
      <c r="C26" s="84" t="str">
        <f ca="1">IF(ISBLANK(INDIRECT(ADDRESS(B26*2+2,3))),"",INDIRECT(ADDRESS(B26*2+2,3)))</f>
        <v>Лукьянова, Рядовиков</v>
      </c>
      <c r="D26" s="84"/>
      <c r="E26" s="85"/>
      <c r="F26" s="27">
        <v>10</v>
      </c>
      <c r="G26" s="28">
        <v>4</v>
      </c>
      <c r="H26" s="86" t="str">
        <f ca="1">IF(ISBLANK(INDIRECT(ADDRESS(K26*2+2,3))),"",INDIRECT(ADDRESS(K26*2+2,3)))</f>
        <v>Голубева, Ницинский</v>
      </c>
      <c r="I26" s="84"/>
      <c r="J26" s="84"/>
      <c r="K26" s="26">
        <v>1</v>
      </c>
      <c r="L26" s="29" t="s">
        <v>6</v>
      </c>
      <c r="M26" s="47">
        <v>5</v>
      </c>
    </row>
    <row r="27" spans="1:13" s="25" customFormat="1" ht="30" customHeight="1" thickBot="1" x14ac:dyDescent="0.4">
      <c r="A27" s="24"/>
      <c r="B27" s="26">
        <v>4</v>
      </c>
      <c r="C27" s="84" t="str">
        <f ca="1">IF(ISBLANK(INDIRECT(ADDRESS(B27*2+2,3))),"",INDIRECT(ADDRESS(B27*2+2,3)))</f>
        <v>Коргунова, Энжольрас</v>
      </c>
      <c r="D27" s="84"/>
      <c r="E27" s="85"/>
      <c r="F27" s="27">
        <v>9</v>
      </c>
      <c r="G27" s="28">
        <v>8</v>
      </c>
      <c r="H27" s="86" t="str">
        <f ca="1">IF(ISBLANK(INDIRECT(ADDRESS(K27*2+2,3))),"",INDIRECT(ADDRESS(K27*2+2,3)))</f>
        <v>Пименова, Смирнов</v>
      </c>
      <c r="I27" s="84"/>
      <c r="J27" s="84"/>
      <c r="K27" s="26">
        <v>5</v>
      </c>
      <c r="L27" s="29" t="s">
        <v>6</v>
      </c>
      <c r="M27" s="47">
        <v>6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10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1</v>
      </c>
      <c r="C30" s="84" t="str">
        <f ca="1">IF(ISBLANK(INDIRECT(ADDRESS(B30*2+2,3))),"",INDIRECT(ADDRESS(B30*2+2,3)))</f>
        <v>Голубева, Ницинский</v>
      </c>
      <c r="D30" s="84"/>
      <c r="E30" s="85"/>
      <c r="F30" s="27">
        <v>13</v>
      </c>
      <c r="G30" s="28">
        <v>6</v>
      </c>
      <c r="H30" s="86" t="str">
        <f ca="1">IF(ISBLANK(INDIRECT(ADDRESS(K30*2+2,3))),"",INDIRECT(ADDRESS(K30*2+2,3)))</f>
        <v>Коргунова, Энжольрас</v>
      </c>
      <c r="I30" s="84"/>
      <c r="J30" s="84"/>
      <c r="K30" s="26">
        <v>4</v>
      </c>
      <c r="L30" s="29" t="s">
        <v>6</v>
      </c>
      <c r="M30" s="47">
        <v>9</v>
      </c>
    </row>
    <row r="31" spans="1:13" s="25" customFormat="1" ht="30" customHeight="1" thickBot="1" x14ac:dyDescent="0.4">
      <c r="A31" s="24"/>
      <c r="B31" s="26">
        <v>2</v>
      </c>
      <c r="C31" s="84" t="str">
        <f ca="1">IF(ISBLANK(INDIRECT(ADDRESS(B31*2+2,3))),"",INDIRECT(ADDRESS(B31*2+2,3)))</f>
        <v>Бублик, Гаджиев</v>
      </c>
      <c r="D31" s="84"/>
      <c r="E31" s="85"/>
      <c r="F31" s="27">
        <v>8</v>
      </c>
      <c r="G31" s="28">
        <v>11</v>
      </c>
      <c r="H31" s="86" t="str">
        <f ca="1">IF(ISBLANK(INDIRECT(ADDRESS(K31*2+2,3))),"",INDIRECT(ADDRESS(K31*2+2,3)))</f>
        <v>Лукьянова, Рядовиков</v>
      </c>
      <c r="I31" s="84"/>
      <c r="J31" s="84"/>
      <c r="K31" s="26">
        <v>3</v>
      </c>
      <c r="L31" s="29" t="s">
        <v>6</v>
      </c>
      <c r="M31" s="47">
        <v>10</v>
      </c>
    </row>
    <row r="32" spans="1:13" s="25" customFormat="1" ht="30" customHeight="1" x14ac:dyDescent="0.35">
      <c r="A32" s="24"/>
      <c r="M32" s="30"/>
    </row>
    <row r="33" spans="1:13" s="25" customFormat="1" ht="30" customHeight="1" thickBot="1" x14ac:dyDescent="0.4">
      <c r="A33" s="24"/>
      <c r="B33" s="70" t="s">
        <v>11</v>
      </c>
      <c r="C33" s="70"/>
      <c r="D33" s="70"/>
      <c r="E33" s="70"/>
      <c r="F33" s="70"/>
      <c r="G33" s="70"/>
      <c r="H33" s="70"/>
      <c r="I33" s="70"/>
      <c r="J33" s="70"/>
      <c r="K33" s="70"/>
      <c r="M33" s="30"/>
    </row>
    <row r="34" spans="1:13" s="25" customFormat="1" ht="30" customHeight="1" thickBot="1" x14ac:dyDescent="0.4">
      <c r="A34" s="24"/>
      <c r="B34" s="26">
        <v>4</v>
      </c>
      <c r="C34" s="84" t="str">
        <f ca="1">IF(ISBLANK(INDIRECT(ADDRESS(B34*2+2,3))),"",INDIRECT(ADDRESS(B34*2+2,3)))</f>
        <v>Коргунова, Энжольрас</v>
      </c>
      <c r="D34" s="84"/>
      <c r="E34" s="85"/>
      <c r="F34" s="27">
        <v>8</v>
      </c>
      <c r="G34" s="28">
        <v>13</v>
      </c>
      <c r="H34" s="86" t="str">
        <f ca="1">IF(ISBLANK(INDIRECT(ADDRESS(K34*2+2,3))),"",INDIRECT(ADDRESS(K34*2+2,3)))</f>
        <v>Бублик, Гаджиев</v>
      </c>
      <c r="I34" s="84"/>
      <c r="J34" s="84"/>
      <c r="K34" s="26">
        <v>2</v>
      </c>
      <c r="L34" s="29" t="s">
        <v>6</v>
      </c>
      <c r="M34" s="47">
        <v>3</v>
      </c>
    </row>
    <row r="35" spans="1:13" s="25" customFormat="1" ht="30" customHeight="1" thickBot="1" x14ac:dyDescent="0.4">
      <c r="A35" s="24"/>
      <c r="B35" s="26">
        <v>5</v>
      </c>
      <c r="C35" s="84" t="str">
        <f ca="1">IF(ISBLANK(INDIRECT(ADDRESS(B35*2+2,3))),"",INDIRECT(ADDRESS(B35*2+2,3)))</f>
        <v>Пименова, Смирнов</v>
      </c>
      <c r="D35" s="84"/>
      <c r="E35" s="85"/>
      <c r="F35" s="27">
        <v>13</v>
      </c>
      <c r="G35" s="28">
        <v>1</v>
      </c>
      <c r="H35" s="86" t="str">
        <f ca="1">IF(ISBLANK(INDIRECT(ADDRESS(K35*2+2,3))),"",INDIRECT(ADDRESS(K35*2+2,3)))</f>
        <v>Голубева, Ницинский</v>
      </c>
      <c r="I35" s="84"/>
      <c r="J35" s="84"/>
      <c r="K35" s="26">
        <v>1</v>
      </c>
      <c r="L35" s="29" t="s">
        <v>6</v>
      </c>
      <c r="M35" s="47">
        <v>4</v>
      </c>
    </row>
  </sheetData>
  <mergeCells count="47">
    <mergeCell ref="C23:E23"/>
    <mergeCell ref="H23:J23"/>
    <mergeCell ref="B25:K25"/>
    <mergeCell ref="B33:K33"/>
    <mergeCell ref="C34:E34"/>
    <mergeCell ref="H34:J3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7:K17"/>
    <mergeCell ref="C18:E18"/>
    <mergeCell ref="H18:J18"/>
    <mergeCell ref="C19:E19"/>
    <mergeCell ref="H19:J19"/>
    <mergeCell ref="B21:K21"/>
    <mergeCell ref="B10:B11"/>
    <mergeCell ref="C10:E11"/>
    <mergeCell ref="B12:B13"/>
    <mergeCell ref="C12:E13"/>
    <mergeCell ref="K10:K11"/>
    <mergeCell ref="M10:M11"/>
    <mergeCell ref="K12:K13"/>
    <mergeCell ref="M12:M13"/>
    <mergeCell ref="B6:B7"/>
    <mergeCell ref="C6:E7"/>
    <mergeCell ref="B8:B9"/>
    <mergeCell ref="C8:E9"/>
    <mergeCell ref="K6:K7"/>
    <mergeCell ref="M6:M7"/>
    <mergeCell ref="K8:K9"/>
    <mergeCell ref="M8:M9"/>
    <mergeCell ref="B1:K1"/>
    <mergeCell ref="C3:E3"/>
    <mergeCell ref="B4:B5"/>
    <mergeCell ref="C4:E5"/>
    <mergeCell ref="K4:K5"/>
    <mergeCell ref="M4:M5"/>
  </mergeCells>
  <pageMargins left="0.25" right="0.25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P14" sqref="P14"/>
    </sheetView>
  </sheetViews>
  <sheetFormatPr defaultRowHeight="15" x14ac:dyDescent="0.25"/>
  <cols>
    <col min="1" max="1" width="4" style="46" customWidth="1"/>
    <col min="2" max="12" width="10.28515625" customWidth="1"/>
    <col min="13" max="13" width="10.28515625" style="2" customWidth="1"/>
    <col min="14" max="15" width="10.28515625" customWidth="1"/>
  </cols>
  <sheetData>
    <row r="1" spans="2:14" ht="38.25" customHeight="1" x14ac:dyDescent="0.25">
      <c r="B1" s="71" t="s">
        <v>108</v>
      </c>
      <c r="C1" s="71"/>
      <c r="D1" s="71"/>
      <c r="E1" s="71"/>
      <c r="F1" s="71"/>
      <c r="G1" s="71"/>
      <c r="H1" s="71"/>
      <c r="I1" s="71"/>
      <c r="J1" s="71"/>
      <c r="K1" s="71"/>
      <c r="M1"/>
    </row>
    <row r="2" spans="2:14" ht="15.75" thickBot="1" x14ac:dyDescent="0.3">
      <c r="M2"/>
    </row>
    <row r="3" spans="2:14" ht="30" customHeight="1" thickBot="1" x14ac:dyDescent="0.3">
      <c r="B3" s="45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5">
        <v>6</v>
      </c>
      <c r="L3" s="42" t="s">
        <v>1</v>
      </c>
      <c r="M3" s="4" t="s">
        <v>2</v>
      </c>
      <c r="N3" s="43" t="s">
        <v>3</v>
      </c>
    </row>
    <row r="4" spans="2:14" ht="24" customHeight="1" x14ac:dyDescent="0.25">
      <c r="B4" s="75">
        <v>1</v>
      </c>
      <c r="C4" s="125" t="s">
        <v>135</v>
      </c>
      <c r="D4" s="126"/>
      <c r="E4" s="127"/>
      <c r="F4" s="7" t="s">
        <v>4</v>
      </c>
      <c r="G4" s="8" t="str">
        <f ca="1">INDIRECT(ADDRESS(27,6))&amp;":"&amp;INDIRECT(ADDRESS(27,7))</f>
        <v>8:6</v>
      </c>
      <c r="H4" s="8" t="str">
        <f ca="1">INDIRECT(ADDRESS(31,7))&amp;":"&amp;INDIRECT(ADDRESS(31,6))</f>
        <v>2:13</v>
      </c>
      <c r="I4" s="8" t="str">
        <f ca="1">INDIRECT(ADDRESS(36,6))&amp;":"&amp;INDIRECT(ADDRESS(36,7))</f>
        <v>11:12</v>
      </c>
      <c r="J4" s="8" t="str">
        <f ca="1">INDIRECT(ADDRESS(42,7))&amp;":"&amp;INDIRECT(ADDRESS(42,6))</f>
        <v>9:7</v>
      </c>
      <c r="K4" s="9" t="str">
        <f ca="1">INDIRECT(ADDRESS(20,6))&amp;":"&amp;INDIRECT(ADDRESS(20,7))</f>
        <v>9:8</v>
      </c>
      <c r="L4" s="99">
        <f ca="1">IF(COUNT(F5:K5)=0,"",COUNTIF(F5:K5,"&gt;0")+0.5*COUNTIF(F5:K5,0))</f>
        <v>3</v>
      </c>
      <c r="M4" s="10"/>
      <c r="N4" s="97">
        <v>2</v>
      </c>
    </row>
    <row r="5" spans="2:14" ht="24" customHeight="1" x14ac:dyDescent="0.25">
      <c r="B5" s="76"/>
      <c r="C5" s="110"/>
      <c r="D5" s="111"/>
      <c r="E5" s="112"/>
      <c r="F5" s="11" t="s">
        <v>4</v>
      </c>
      <c r="G5" s="12">
        <f ca="1">IF(LEN(INDIRECT(ADDRESS(ROW()-1, COLUMN())))=1,"",INDIRECT(ADDRESS(27,6))-INDIRECT(ADDRESS(27,7)))</f>
        <v>2</v>
      </c>
      <c r="H5" s="12">
        <f ca="1">IF(LEN(INDIRECT(ADDRESS(ROW()-1, COLUMN())))=1,"",INDIRECT(ADDRESS(31,7))-INDIRECT(ADDRESS(31,6)))</f>
        <v>-11</v>
      </c>
      <c r="I5" s="12">
        <f ca="1">IF(LEN(INDIRECT(ADDRESS(ROW()-1, COLUMN())))=1,"",INDIRECT(ADDRESS(36,6))-INDIRECT(ADDRESS(36,7)))</f>
        <v>-1</v>
      </c>
      <c r="J5" s="12">
        <f ca="1">IF(LEN(INDIRECT(ADDRESS(ROW()-1, COLUMN())))=1,"",INDIRECT(ADDRESS(42,7))-INDIRECT(ADDRESS(42,6)))</f>
        <v>2</v>
      </c>
      <c r="K5" s="13">
        <f ca="1">IF(LEN(INDIRECT(ADDRESS(ROW()-1, COLUMN())))=1,"",INDIRECT(ADDRESS(20,6))-INDIRECT(ADDRESS(20,7)))</f>
        <v>1</v>
      </c>
      <c r="L5" s="100"/>
      <c r="M5" s="12">
        <f ca="1">IF(COUNT(F5:K5)=0,"",SUM(F5:K5))</f>
        <v>-7</v>
      </c>
      <c r="N5" s="98"/>
    </row>
    <row r="6" spans="2:14" ht="24" customHeight="1" x14ac:dyDescent="0.25">
      <c r="B6" s="87">
        <v>2</v>
      </c>
      <c r="C6" s="80" t="s">
        <v>136</v>
      </c>
      <c r="D6" s="81"/>
      <c r="E6" s="82"/>
      <c r="F6" s="14" t="str">
        <f ca="1">INDIRECT(ADDRESS(27,7))&amp;":"&amp;INDIRECT(ADDRESS(27,6))</f>
        <v>6:8</v>
      </c>
      <c r="G6" s="15" t="s">
        <v>4</v>
      </c>
      <c r="H6" s="16" t="str">
        <f ca="1">INDIRECT(ADDRESS(37,6))&amp;":"&amp;INDIRECT(ADDRESS(37,7))</f>
        <v>3:13</v>
      </c>
      <c r="I6" s="16" t="str">
        <f ca="1">INDIRECT(ADDRESS(41,7))&amp;":"&amp;INDIRECT(ADDRESS(41,6))</f>
        <v>13:5</v>
      </c>
      <c r="J6" s="16" t="str">
        <f ca="1">INDIRECT(ADDRESS(21,6))&amp;":"&amp;INDIRECT(ADDRESS(21,7))</f>
        <v>13:3</v>
      </c>
      <c r="K6" s="17" t="str">
        <f ca="1">INDIRECT(ADDRESS(30,6))&amp;":"&amp;INDIRECT(ADDRESS(30,7))</f>
        <v>11:13</v>
      </c>
      <c r="L6" s="100">
        <f ca="1">IF(COUNT(F7:K7)=0,"",COUNTIF(F7:K7,"&gt;0")+0.5*COUNTIF(F7:K7,0))</f>
        <v>2</v>
      </c>
      <c r="M6" s="12"/>
      <c r="N6" s="101">
        <v>4</v>
      </c>
    </row>
    <row r="7" spans="2:14" ht="24" customHeight="1" x14ac:dyDescent="0.25">
      <c r="B7" s="76"/>
      <c r="C7" s="80"/>
      <c r="D7" s="81"/>
      <c r="E7" s="82"/>
      <c r="F7" s="18">
        <f ca="1">IF(LEN(INDIRECT(ADDRESS(ROW()-1, COLUMN())))=1,"",INDIRECT(ADDRESS(27,7))-INDIRECT(ADDRESS(27,6)))</f>
        <v>-2</v>
      </c>
      <c r="G7" s="19" t="s">
        <v>4</v>
      </c>
      <c r="H7" s="12">
        <f ca="1">IF(LEN(INDIRECT(ADDRESS(ROW()-1, COLUMN())))=1,"",INDIRECT(ADDRESS(37,6))-INDIRECT(ADDRESS(37,7)))</f>
        <v>-10</v>
      </c>
      <c r="I7" s="12">
        <f ca="1">IF(LEN(INDIRECT(ADDRESS(ROW()-1, COLUMN())))=1,"",INDIRECT(ADDRESS(41,7))-INDIRECT(ADDRESS(41,6)))</f>
        <v>8</v>
      </c>
      <c r="J7" s="12">
        <f ca="1">IF(LEN(INDIRECT(ADDRESS(ROW()-1, COLUMN())))=1,"",INDIRECT(ADDRESS(21,6))-INDIRECT(ADDRESS(21,7)))</f>
        <v>10</v>
      </c>
      <c r="K7" s="13">
        <f ca="1">IF(LEN(INDIRECT(ADDRESS(ROW()-1, COLUMN())))=1,"",INDIRECT(ADDRESS(30,6))-INDIRECT(ADDRESS(30,7)))</f>
        <v>-2</v>
      </c>
      <c r="L7" s="100"/>
      <c r="M7" s="12">
        <f ca="1">IF(COUNT(F7:K7)=0,"",SUM(F7:K7))</f>
        <v>4</v>
      </c>
      <c r="N7" s="98"/>
    </row>
    <row r="8" spans="2:14" ht="24" customHeight="1" x14ac:dyDescent="0.25">
      <c r="B8" s="87">
        <v>3</v>
      </c>
      <c r="C8" s="110" t="s">
        <v>137</v>
      </c>
      <c r="D8" s="111"/>
      <c r="E8" s="112"/>
      <c r="F8" s="14" t="str">
        <f ca="1">INDIRECT(ADDRESS(31,6))&amp;":"&amp;INDIRECT(ADDRESS(31,7))</f>
        <v>13:2</v>
      </c>
      <c r="G8" s="16" t="str">
        <f ca="1">INDIRECT(ADDRESS(37,7))&amp;":"&amp;INDIRECT(ADDRESS(37,6))</f>
        <v>13:3</v>
      </c>
      <c r="H8" s="15" t="s">
        <v>4</v>
      </c>
      <c r="I8" s="16" t="str">
        <f ca="1">INDIRECT(ADDRESS(22,6))&amp;":"&amp;INDIRECT(ADDRESS(22,7))</f>
        <v>13:8</v>
      </c>
      <c r="J8" s="16" t="str">
        <f ca="1">INDIRECT(ADDRESS(26,7))&amp;":"&amp;INDIRECT(ADDRESS(26,6))</f>
        <v>9:13</v>
      </c>
      <c r="K8" s="17" t="str">
        <f ca="1">INDIRECT(ADDRESS(40,6))&amp;":"&amp;INDIRECT(ADDRESS(40,7))</f>
        <v>13:4</v>
      </c>
      <c r="L8" s="100">
        <f ca="1">IF(COUNT(F9:K9)=0,"",COUNTIF(F9:K9,"&gt;0")+0.5*COUNTIF(F9:K9,0))</f>
        <v>4</v>
      </c>
      <c r="M8" s="12"/>
      <c r="N8" s="101">
        <v>1</v>
      </c>
    </row>
    <row r="9" spans="2:14" ht="24" customHeight="1" x14ac:dyDescent="0.25">
      <c r="B9" s="76"/>
      <c r="C9" s="110"/>
      <c r="D9" s="111"/>
      <c r="E9" s="112"/>
      <c r="F9" s="18">
        <f ca="1">IF(LEN(INDIRECT(ADDRESS(ROW()-1, COLUMN())))=1,"",INDIRECT(ADDRESS(31,6))-INDIRECT(ADDRESS(31,7)))</f>
        <v>11</v>
      </c>
      <c r="G9" s="12">
        <f ca="1">IF(LEN(INDIRECT(ADDRESS(ROW()-1, COLUMN())))=1,"",INDIRECT(ADDRESS(37,7))-INDIRECT(ADDRESS(37,6)))</f>
        <v>10</v>
      </c>
      <c r="H9" s="19" t="s">
        <v>4</v>
      </c>
      <c r="I9" s="12">
        <f ca="1">IF(LEN(INDIRECT(ADDRESS(ROW()-1, COLUMN())))=1,"",INDIRECT(ADDRESS(22,6))-INDIRECT(ADDRESS(22,7)))</f>
        <v>5</v>
      </c>
      <c r="J9" s="12">
        <f ca="1">IF(LEN(INDIRECT(ADDRESS(ROW()-1, COLUMN())))=1,"",INDIRECT(ADDRESS(26,7))-INDIRECT(ADDRESS(26,6)))</f>
        <v>-4</v>
      </c>
      <c r="K9" s="13">
        <f ca="1">IF(LEN(INDIRECT(ADDRESS(ROW()-1, COLUMN())))=1,"",INDIRECT(ADDRESS(40,6))-INDIRECT(ADDRESS(40,7)))</f>
        <v>9</v>
      </c>
      <c r="L9" s="100"/>
      <c r="M9" s="12">
        <f ca="1">IF(COUNT(F9:K9)=0,"",SUM(F9:K9))</f>
        <v>31</v>
      </c>
      <c r="N9" s="98"/>
    </row>
    <row r="10" spans="2:14" ht="24" customHeight="1" x14ac:dyDescent="0.25">
      <c r="B10" s="87">
        <v>4</v>
      </c>
      <c r="C10" s="80" t="s">
        <v>138</v>
      </c>
      <c r="D10" s="81"/>
      <c r="E10" s="82"/>
      <c r="F10" s="14" t="str">
        <f ca="1">INDIRECT(ADDRESS(36,7))&amp;":"&amp;INDIRECT(ADDRESS(36,6))</f>
        <v>12:11</v>
      </c>
      <c r="G10" s="16" t="str">
        <f ca="1">INDIRECT(ADDRESS(41,6))&amp;":"&amp;INDIRECT(ADDRESS(41,7))</f>
        <v>5:13</v>
      </c>
      <c r="H10" s="16" t="str">
        <f ca="1">INDIRECT(ADDRESS(22,7))&amp;":"&amp;INDIRECT(ADDRESS(22,6))</f>
        <v>8:13</v>
      </c>
      <c r="I10" s="15" t="s">
        <v>4</v>
      </c>
      <c r="J10" s="16" t="str">
        <f ca="1">INDIRECT(ADDRESS(32,6))&amp;":"&amp;INDIRECT(ADDRESS(32,7))</f>
        <v>8:13</v>
      </c>
      <c r="K10" s="17" t="str">
        <f ca="1">INDIRECT(ADDRESS(25,7))&amp;":"&amp;INDIRECT(ADDRESS(25,6))</f>
        <v>13:2</v>
      </c>
      <c r="L10" s="100">
        <f ca="1">IF(COUNT(F11:K11)=0,"",COUNTIF(F11:K11,"&gt;0")+0.5*COUNTIF(F11:K11,0))</f>
        <v>2</v>
      </c>
      <c r="M10" s="12"/>
      <c r="N10" s="101">
        <v>6</v>
      </c>
    </row>
    <row r="11" spans="2:14" ht="24" customHeight="1" x14ac:dyDescent="0.25">
      <c r="B11" s="76"/>
      <c r="C11" s="80"/>
      <c r="D11" s="81"/>
      <c r="E11" s="82"/>
      <c r="F11" s="18">
        <f ca="1">IF(LEN(INDIRECT(ADDRESS(ROW()-1, COLUMN())))=1,"",INDIRECT(ADDRESS(36,7))-INDIRECT(ADDRESS(36,6)))</f>
        <v>1</v>
      </c>
      <c r="G11" s="12">
        <f ca="1">IF(LEN(INDIRECT(ADDRESS(ROW()-1, COLUMN())))=1,"",INDIRECT(ADDRESS(41,6))-INDIRECT(ADDRESS(41,7)))</f>
        <v>-8</v>
      </c>
      <c r="H11" s="12">
        <f ca="1">IF(LEN(INDIRECT(ADDRESS(ROW()-1, COLUMN())))=1,"",INDIRECT(ADDRESS(22,7))-INDIRECT(ADDRESS(22,6)))</f>
        <v>-5</v>
      </c>
      <c r="I11" s="19" t="s">
        <v>4</v>
      </c>
      <c r="J11" s="12">
        <f ca="1">IF(LEN(INDIRECT(ADDRESS(ROW()-1, COLUMN())))=1,"",INDIRECT(ADDRESS(32,6))-INDIRECT(ADDRESS(32,7)))</f>
        <v>-5</v>
      </c>
      <c r="K11" s="13">
        <f ca="1">IF(LEN(INDIRECT(ADDRESS(ROW()-1, COLUMN())))=1,"",INDIRECT(ADDRESS(25,7))-INDIRECT(ADDRESS(25,6)))</f>
        <v>11</v>
      </c>
      <c r="L11" s="100"/>
      <c r="M11" s="12">
        <f ca="1">IF(COUNT(F11:K11)=0,"",SUM(F11:K11))</f>
        <v>-6</v>
      </c>
      <c r="N11" s="98"/>
    </row>
    <row r="12" spans="2:14" ht="24" customHeight="1" x14ac:dyDescent="0.25">
      <c r="B12" s="87">
        <v>5</v>
      </c>
      <c r="C12" s="80" t="s">
        <v>139</v>
      </c>
      <c r="D12" s="81"/>
      <c r="E12" s="82"/>
      <c r="F12" s="14" t="str">
        <f ca="1">INDIRECT(ADDRESS(42,6))&amp;":"&amp;INDIRECT(ADDRESS(42,7))</f>
        <v>7:9</v>
      </c>
      <c r="G12" s="16" t="str">
        <f ca="1">INDIRECT(ADDRESS(21,7))&amp;":"&amp;INDIRECT(ADDRESS(21,6))</f>
        <v>3:13</v>
      </c>
      <c r="H12" s="16" t="str">
        <f ca="1">INDIRECT(ADDRESS(26,6))&amp;":"&amp;INDIRECT(ADDRESS(26,7))</f>
        <v>13:9</v>
      </c>
      <c r="I12" s="16" t="str">
        <f ca="1">INDIRECT(ADDRESS(32,7))&amp;":"&amp;INDIRECT(ADDRESS(32,6))</f>
        <v>13:8</v>
      </c>
      <c r="J12" s="15" t="s">
        <v>4</v>
      </c>
      <c r="K12" s="17" t="str">
        <f ca="1">INDIRECT(ADDRESS(35,7))&amp;":"&amp;INDIRECT(ADDRESS(35,6))</f>
        <v>7:13</v>
      </c>
      <c r="L12" s="100">
        <f ca="1">IF(COUNT(F13:K13)=0,"",COUNTIF(F13:K13,"&gt;0")+0.5*COUNTIF(F13:K13,0))</f>
        <v>2</v>
      </c>
      <c r="M12" s="12"/>
      <c r="N12" s="101">
        <v>5</v>
      </c>
    </row>
    <row r="13" spans="2:14" ht="24" customHeight="1" x14ac:dyDescent="0.25">
      <c r="B13" s="76"/>
      <c r="C13" s="80"/>
      <c r="D13" s="81"/>
      <c r="E13" s="82"/>
      <c r="F13" s="18">
        <f ca="1">IF(LEN(INDIRECT(ADDRESS(ROW()-1, COLUMN())))=1,"",INDIRECT(ADDRESS(42,6))-INDIRECT(ADDRESS(42,7)))</f>
        <v>-2</v>
      </c>
      <c r="G13" s="12">
        <f ca="1">IF(LEN(INDIRECT(ADDRESS(ROW()-1, COLUMN())))=1,"",INDIRECT(ADDRESS(21,7))-INDIRECT(ADDRESS(21,6)))</f>
        <v>-10</v>
      </c>
      <c r="H13" s="12">
        <f ca="1">IF(LEN(INDIRECT(ADDRESS(ROW()-1, COLUMN())))=1,"",INDIRECT(ADDRESS(26,6))-INDIRECT(ADDRESS(26,7)))</f>
        <v>4</v>
      </c>
      <c r="I13" s="12">
        <f ca="1">IF(LEN(INDIRECT(ADDRESS(ROW()-1, COLUMN())))=1,"",INDIRECT(ADDRESS(32,7))-INDIRECT(ADDRESS(32,6)))</f>
        <v>5</v>
      </c>
      <c r="J13" s="19" t="s">
        <v>4</v>
      </c>
      <c r="K13" s="13">
        <f ca="1">IF(LEN(INDIRECT(ADDRESS(ROW()-1, COLUMN())))=1,"",INDIRECT(ADDRESS(35,7))-INDIRECT(ADDRESS(35,6)))</f>
        <v>-6</v>
      </c>
      <c r="L13" s="100"/>
      <c r="M13" s="12">
        <f ca="1">IF(COUNT(F13:K13)=0,"",SUM(F13:K13))</f>
        <v>-9</v>
      </c>
      <c r="N13" s="98"/>
    </row>
    <row r="14" spans="2:14" ht="24" customHeight="1" x14ac:dyDescent="0.25">
      <c r="B14" s="87">
        <v>6</v>
      </c>
      <c r="C14" s="80" t="s">
        <v>140</v>
      </c>
      <c r="D14" s="81"/>
      <c r="E14" s="82"/>
      <c r="F14" s="14" t="str">
        <f ca="1">INDIRECT(ADDRESS(20,7))&amp;":"&amp;INDIRECT(ADDRESS(20,6))</f>
        <v>8:9</v>
      </c>
      <c r="G14" s="16" t="str">
        <f ca="1">INDIRECT(ADDRESS(30,7))&amp;":"&amp;INDIRECT(ADDRESS(30,6))</f>
        <v>13:11</v>
      </c>
      <c r="H14" s="16" t="str">
        <f ca="1">INDIRECT(ADDRESS(40,7))&amp;":"&amp;INDIRECT(ADDRESS(40,6))</f>
        <v>4:13</v>
      </c>
      <c r="I14" s="16" t="str">
        <f ca="1">INDIRECT(ADDRESS(25,6))&amp;":"&amp;INDIRECT(ADDRESS(25,7))</f>
        <v>2:13</v>
      </c>
      <c r="J14" s="16" t="str">
        <f ca="1">INDIRECT(ADDRESS(35,6))&amp;":"&amp;INDIRECT(ADDRESS(35,7))</f>
        <v>13:7</v>
      </c>
      <c r="K14" s="20" t="s">
        <v>4</v>
      </c>
      <c r="L14" s="100">
        <f ca="1">IF(COUNT(F15:K15)=0,"",COUNTIF(F15:K15,"&gt;0")+0.5*COUNTIF(F15:K15,0))</f>
        <v>2</v>
      </c>
      <c r="M14" s="12"/>
      <c r="N14" s="101">
        <v>3</v>
      </c>
    </row>
    <row r="15" spans="2:14" ht="24" customHeight="1" thickBot="1" x14ac:dyDescent="0.3">
      <c r="B15" s="88"/>
      <c r="C15" s="89"/>
      <c r="D15" s="90"/>
      <c r="E15" s="91"/>
      <c r="F15" s="21">
        <f ca="1">IF(LEN(INDIRECT(ADDRESS(ROW()-1, COLUMN())))=1,"",INDIRECT(ADDRESS(20,7))-INDIRECT(ADDRESS(20,6)))</f>
        <v>-1</v>
      </c>
      <c r="G15" s="22">
        <f ca="1">IF(LEN(INDIRECT(ADDRESS(ROW()-1, COLUMN())))=1,"",INDIRECT(ADDRESS(30,7))-INDIRECT(ADDRESS(30,6)))</f>
        <v>2</v>
      </c>
      <c r="H15" s="22">
        <f ca="1">IF(LEN(INDIRECT(ADDRESS(ROW()-1, COLUMN())))=1,"",INDIRECT(ADDRESS(40,7))-INDIRECT(ADDRESS(40,6)))</f>
        <v>-9</v>
      </c>
      <c r="I15" s="22">
        <f ca="1">IF(LEN(INDIRECT(ADDRESS(ROW()-1, COLUMN())))=1,"",INDIRECT(ADDRESS(25,6))-INDIRECT(ADDRESS(25,7)))</f>
        <v>-11</v>
      </c>
      <c r="J15" s="22">
        <f ca="1">IF(LEN(INDIRECT(ADDRESS(ROW()-1, COLUMN())))=1,"",INDIRECT(ADDRESS(35,6))-INDIRECT(ADDRESS(35,7)))</f>
        <v>6</v>
      </c>
      <c r="K15" s="23" t="s">
        <v>4</v>
      </c>
      <c r="L15" s="103"/>
      <c r="M15" s="22">
        <f ca="1">IF(COUNT(F15:K15)=0,"",SUM(F15:K15))</f>
        <v>-13</v>
      </c>
      <c r="N15" s="10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5" customFormat="1" ht="30" customHeight="1" thickBot="1" x14ac:dyDescent="0.4">
      <c r="A19" s="24"/>
      <c r="B19" s="70" t="s">
        <v>5</v>
      </c>
      <c r="C19" s="70"/>
      <c r="D19" s="70"/>
      <c r="E19" s="70"/>
      <c r="F19" s="70"/>
      <c r="G19" s="70"/>
      <c r="H19" s="70"/>
      <c r="I19" s="70"/>
      <c r="J19" s="70"/>
      <c r="K19" s="70"/>
    </row>
    <row r="20" spans="1:13" s="25" customFormat="1" ht="30" customHeight="1" thickBot="1" x14ac:dyDescent="0.4">
      <c r="A20" s="24"/>
      <c r="B20" s="26">
        <v>1</v>
      </c>
      <c r="C20" s="84" t="str">
        <f ca="1">IF(ISBLANK(INDIRECT(ADDRESS(B20*2+2,3))),"",INDIRECT(ADDRESS(B20*2+2,3)))</f>
        <v>Крошилова, Тихонов</v>
      </c>
      <c r="D20" s="84"/>
      <c r="E20" s="85"/>
      <c r="F20" s="27">
        <v>9</v>
      </c>
      <c r="G20" s="28">
        <v>8</v>
      </c>
      <c r="H20" s="86" t="str">
        <f ca="1">IF(ISBLANK(INDIRECT(ADDRESS(K20*2+2,3))),"",INDIRECT(ADDRESS(K20*2+2,3)))</f>
        <v>Гурина, Карасев</v>
      </c>
      <c r="I20" s="84"/>
      <c r="J20" s="84"/>
      <c r="K20" s="26">
        <v>6</v>
      </c>
      <c r="L20" s="29" t="s">
        <v>6</v>
      </c>
      <c r="M20" s="44">
        <v>1</v>
      </c>
    </row>
    <row r="21" spans="1:13" s="25" customFormat="1" ht="30" customHeight="1" thickBot="1" x14ac:dyDescent="0.4">
      <c r="A21" s="24"/>
      <c r="B21" s="26">
        <v>2</v>
      </c>
      <c r="C21" s="84" t="str">
        <f ca="1">IF(ISBLANK(INDIRECT(ADDRESS(B21*2+2,3))),"",INDIRECT(ADDRESS(B21*2+2,3)))</f>
        <v>Тихомирова, Земцов</v>
      </c>
      <c r="D21" s="84"/>
      <c r="E21" s="85"/>
      <c r="F21" s="27">
        <v>13</v>
      </c>
      <c r="G21" s="28">
        <v>3</v>
      </c>
      <c r="H21" s="122" t="str">
        <f ca="1">IF(ISBLANK(INDIRECT(ADDRESS(K21*2+2,3))),"",INDIRECT(ADDRESS(K21*2+2,3)))</f>
        <v>Кирменская, Федотовский</v>
      </c>
      <c r="I21" s="123"/>
      <c r="J21" s="123"/>
      <c r="K21" s="26">
        <v>5</v>
      </c>
      <c r="L21" s="29" t="s">
        <v>6</v>
      </c>
      <c r="M21" s="44">
        <v>2</v>
      </c>
    </row>
    <row r="22" spans="1:13" s="25" customFormat="1" ht="30" customHeight="1" thickBot="1" x14ac:dyDescent="0.4">
      <c r="A22" s="24"/>
      <c r="B22" s="26">
        <v>3</v>
      </c>
      <c r="C22" s="84" t="str">
        <f ca="1">IF(ISBLANK(INDIRECT(ADDRESS(B22*2+2,3))),"",INDIRECT(ADDRESS(B22*2+2,3)))</f>
        <v>Хафизова, Хафидо</v>
      </c>
      <c r="D22" s="84"/>
      <c r="E22" s="85"/>
      <c r="F22" s="27">
        <v>13</v>
      </c>
      <c r="G22" s="28">
        <v>8</v>
      </c>
      <c r="H22" s="86" t="str">
        <f ca="1">IF(ISBLANK(INDIRECT(ADDRESS(K22*2+2,3))),"",INDIRECT(ADDRESS(K22*2+2,3)))</f>
        <v>Гришковы</v>
      </c>
      <c r="I22" s="84"/>
      <c r="J22" s="84"/>
      <c r="K22" s="26">
        <v>4</v>
      </c>
      <c r="L22" s="29" t="s">
        <v>6</v>
      </c>
      <c r="M22" s="44">
        <v>3</v>
      </c>
    </row>
    <row r="23" spans="1:13" s="25" customFormat="1" ht="30" customHeight="1" x14ac:dyDescent="0.35">
      <c r="A23" s="24"/>
      <c r="M23" s="30"/>
    </row>
    <row r="24" spans="1:13" s="25" customFormat="1" ht="30" customHeight="1" thickBot="1" x14ac:dyDescent="0.4">
      <c r="A24" s="24"/>
      <c r="B24" s="70" t="s">
        <v>7</v>
      </c>
      <c r="C24" s="70"/>
      <c r="D24" s="70"/>
      <c r="E24" s="70"/>
      <c r="F24" s="70"/>
      <c r="G24" s="70"/>
      <c r="H24" s="70"/>
      <c r="I24" s="70"/>
      <c r="J24" s="70"/>
      <c r="K24" s="70"/>
      <c r="M24" s="30"/>
    </row>
    <row r="25" spans="1:13" s="25" customFormat="1" ht="30" customHeight="1" thickBot="1" x14ac:dyDescent="0.4">
      <c r="A25" s="24"/>
      <c r="B25" s="26">
        <v>6</v>
      </c>
      <c r="C25" s="84" t="str">
        <f ca="1">IF(ISBLANK(INDIRECT(ADDRESS(B25*2+2,3))),"",INDIRECT(ADDRESS(B25*2+2,3)))</f>
        <v>Гурина, Карасев</v>
      </c>
      <c r="D25" s="84"/>
      <c r="E25" s="85"/>
      <c r="F25" s="27">
        <v>2</v>
      </c>
      <c r="G25" s="28">
        <v>13</v>
      </c>
      <c r="H25" s="86" t="str">
        <f ca="1">IF(ISBLANK(INDIRECT(ADDRESS(K25*2+2,3))),"",INDIRECT(ADDRESS(K25*2+2,3)))</f>
        <v>Гришковы</v>
      </c>
      <c r="I25" s="84"/>
      <c r="J25" s="84"/>
      <c r="K25" s="26">
        <v>4</v>
      </c>
      <c r="L25" s="29" t="s">
        <v>6</v>
      </c>
      <c r="M25" s="44">
        <v>5</v>
      </c>
    </row>
    <row r="26" spans="1:13" s="25" customFormat="1" ht="30" customHeight="1" thickBot="1" x14ac:dyDescent="0.4">
      <c r="A26" s="24"/>
      <c r="B26" s="26">
        <v>5</v>
      </c>
      <c r="C26" s="123" t="str">
        <f ca="1">IF(ISBLANK(INDIRECT(ADDRESS(B26*2+2,3))),"",INDIRECT(ADDRESS(B26*2+2,3)))</f>
        <v>Кирменская, Федотовский</v>
      </c>
      <c r="D26" s="123"/>
      <c r="E26" s="124"/>
      <c r="F26" s="27">
        <v>13</v>
      </c>
      <c r="G26" s="28">
        <v>9</v>
      </c>
      <c r="H26" s="86" t="str">
        <f ca="1">IF(ISBLANK(INDIRECT(ADDRESS(K26*2+2,3))),"",INDIRECT(ADDRESS(K26*2+2,3)))</f>
        <v>Хафизова, Хафидо</v>
      </c>
      <c r="I26" s="84"/>
      <c r="J26" s="84"/>
      <c r="K26" s="26">
        <v>3</v>
      </c>
      <c r="L26" s="29" t="s">
        <v>6</v>
      </c>
      <c r="M26" s="44">
        <v>6</v>
      </c>
    </row>
    <row r="27" spans="1:13" s="25" customFormat="1" ht="30" customHeight="1" thickBot="1" x14ac:dyDescent="0.4">
      <c r="A27" s="24"/>
      <c r="B27" s="26">
        <v>1</v>
      </c>
      <c r="C27" s="84" t="str">
        <f ca="1">IF(ISBLANK(INDIRECT(ADDRESS(B27*2+2,3))),"",INDIRECT(ADDRESS(B27*2+2,3)))</f>
        <v>Крошилова, Тихонов</v>
      </c>
      <c r="D27" s="84"/>
      <c r="E27" s="85"/>
      <c r="F27" s="27">
        <v>8</v>
      </c>
      <c r="G27" s="28">
        <v>6</v>
      </c>
      <c r="H27" s="86" t="str">
        <f ca="1">IF(ISBLANK(INDIRECT(ADDRESS(K27*2+2,3))),"",INDIRECT(ADDRESS(K27*2+2,3)))</f>
        <v>Тихомирова, Земцов</v>
      </c>
      <c r="I27" s="84"/>
      <c r="J27" s="84"/>
      <c r="K27" s="26">
        <v>2</v>
      </c>
      <c r="L27" s="29" t="s">
        <v>6</v>
      </c>
      <c r="M27" s="44">
        <v>7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8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2</v>
      </c>
      <c r="C30" s="84" t="str">
        <f ca="1">IF(ISBLANK(INDIRECT(ADDRESS(B30*2+2,3))),"",INDIRECT(ADDRESS(B30*2+2,3)))</f>
        <v>Тихомирова, Земцов</v>
      </c>
      <c r="D30" s="84"/>
      <c r="E30" s="85"/>
      <c r="F30" s="27">
        <v>11</v>
      </c>
      <c r="G30" s="28">
        <v>13</v>
      </c>
      <c r="H30" s="86" t="str">
        <f ca="1">IF(ISBLANK(INDIRECT(ADDRESS(K30*2+2,3))),"",INDIRECT(ADDRESS(K30*2+2,3)))</f>
        <v>Гурина, Карасев</v>
      </c>
      <c r="I30" s="84"/>
      <c r="J30" s="84"/>
      <c r="K30" s="26">
        <v>6</v>
      </c>
      <c r="L30" s="29" t="s">
        <v>6</v>
      </c>
      <c r="M30" s="44">
        <v>9</v>
      </c>
    </row>
    <row r="31" spans="1:13" s="25" customFormat="1" ht="30" customHeight="1" thickBot="1" x14ac:dyDescent="0.4">
      <c r="A31" s="24"/>
      <c r="B31" s="26">
        <v>3</v>
      </c>
      <c r="C31" s="84" t="str">
        <f ca="1">IF(ISBLANK(INDIRECT(ADDRESS(B31*2+2,3))),"",INDIRECT(ADDRESS(B31*2+2,3)))</f>
        <v>Хафизова, Хафидо</v>
      </c>
      <c r="D31" s="84"/>
      <c r="E31" s="85"/>
      <c r="F31" s="27">
        <v>13</v>
      </c>
      <c r="G31" s="28">
        <v>2</v>
      </c>
      <c r="H31" s="86" t="str">
        <f ca="1">IF(ISBLANK(INDIRECT(ADDRESS(K31*2+2,3))),"",INDIRECT(ADDRESS(K31*2+2,3)))</f>
        <v>Крошилова, Тихонов</v>
      </c>
      <c r="I31" s="84"/>
      <c r="J31" s="84"/>
      <c r="K31" s="26">
        <v>1</v>
      </c>
      <c r="L31" s="29" t="s">
        <v>6</v>
      </c>
      <c r="M31" s="44">
        <v>10</v>
      </c>
    </row>
    <row r="32" spans="1:13" s="25" customFormat="1" ht="30" customHeight="1" thickBot="1" x14ac:dyDescent="0.4">
      <c r="A32" s="24"/>
      <c r="B32" s="26">
        <v>4</v>
      </c>
      <c r="C32" s="84" t="str">
        <f ca="1">IF(ISBLANK(INDIRECT(ADDRESS(B32*2+2,3))),"",INDIRECT(ADDRESS(B32*2+2,3)))</f>
        <v>Гришковы</v>
      </c>
      <c r="D32" s="84"/>
      <c r="E32" s="85"/>
      <c r="F32" s="27">
        <v>8</v>
      </c>
      <c r="G32" s="28">
        <v>13</v>
      </c>
      <c r="H32" s="122" t="str">
        <f ca="1">IF(ISBLANK(INDIRECT(ADDRESS(K32*2+2,3))),"",INDIRECT(ADDRESS(K32*2+2,3)))</f>
        <v>Кирменская, Федотовский</v>
      </c>
      <c r="I32" s="123"/>
      <c r="J32" s="123"/>
      <c r="K32" s="26">
        <v>5</v>
      </c>
      <c r="L32" s="29" t="s">
        <v>6</v>
      </c>
      <c r="M32" s="44">
        <v>1</v>
      </c>
    </row>
    <row r="33" spans="1:13" s="25" customFormat="1" ht="30" customHeight="1" x14ac:dyDescent="0.35">
      <c r="A33" s="24"/>
      <c r="M33" s="30"/>
    </row>
    <row r="34" spans="1:13" s="25" customFormat="1" ht="30" customHeight="1" thickBot="1" x14ac:dyDescent="0.4">
      <c r="A34" s="24"/>
      <c r="B34" s="70" t="s">
        <v>10</v>
      </c>
      <c r="C34" s="70"/>
      <c r="D34" s="70"/>
      <c r="E34" s="70"/>
      <c r="F34" s="70"/>
      <c r="G34" s="70"/>
      <c r="H34" s="70"/>
      <c r="I34" s="70"/>
      <c r="J34" s="70"/>
      <c r="K34" s="70"/>
      <c r="M34" s="30"/>
    </row>
    <row r="35" spans="1:13" s="25" customFormat="1" ht="30" customHeight="1" thickBot="1" x14ac:dyDescent="0.4">
      <c r="A35" s="24"/>
      <c r="B35" s="26">
        <v>6</v>
      </c>
      <c r="C35" s="84" t="str">
        <f ca="1">IF(ISBLANK(INDIRECT(ADDRESS(B35*2+2,3))),"",INDIRECT(ADDRESS(B35*2+2,3)))</f>
        <v>Гурина, Карасев</v>
      </c>
      <c r="D35" s="84"/>
      <c r="E35" s="85"/>
      <c r="F35" s="27">
        <v>13</v>
      </c>
      <c r="G35" s="28">
        <v>7</v>
      </c>
      <c r="H35" s="122" t="str">
        <f ca="1">IF(ISBLANK(INDIRECT(ADDRESS(K35*2+2,3))),"",INDIRECT(ADDRESS(K35*2+2,3)))</f>
        <v>Кирменская, Федотовский</v>
      </c>
      <c r="I35" s="123"/>
      <c r="J35" s="123"/>
      <c r="K35" s="26">
        <v>5</v>
      </c>
      <c r="L35" s="29" t="s">
        <v>6</v>
      </c>
      <c r="M35" s="44">
        <v>3</v>
      </c>
    </row>
    <row r="36" spans="1:13" s="25" customFormat="1" ht="30" customHeight="1" thickBot="1" x14ac:dyDescent="0.4">
      <c r="A36" s="24"/>
      <c r="B36" s="26">
        <v>1</v>
      </c>
      <c r="C36" s="84" t="str">
        <f ca="1">IF(ISBLANK(INDIRECT(ADDRESS(B36*2+2,3))),"",INDIRECT(ADDRESS(B36*2+2,3)))</f>
        <v>Крошилова, Тихонов</v>
      </c>
      <c r="D36" s="84"/>
      <c r="E36" s="85"/>
      <c r="F36" s="27">
        <v>11</v>
      </c>
      <c r="G36" s="28">
        <v>12</v>
      </c>
      <c r="H36" s="86" t="str">
        <f ca="1">IF(ISBLANK(INDIRECT(ADDRESS(K36*2+2,3))),"",INDIRECT(ADDRESS(K36*2+2,3)))</f>
        <v>Гришковы</v>
      </c>
      <c r="I36" s="84"/>
      <c r="J36" s="84"/>
      <c r="K36" s="26">
        <v>4</v>
      </c>
      <c r="L36" s="29" t="s">
        <v>6</v>
      </c>
      <c r="M36" s="44">
        <v>4</v>
      </c>
    </row>
    <row r="37" spans="1:13" s="25" customFormat="1" ht="30" customHeight="1" thickBot="1" x14ac:dyDescent="0.4">
      <c r="A37" s="24"/>
      <c r="B37" s="26">
        <v>2</v>
      </c>
      <c r="C37" s="84" t="str">
        <f ca="1">IF(ISBLANK(INDIRECT(ADDRESS(B37*2+2,3))),"",INDIRECT(ADDRESS(B37*2+2,3)))</f>
        <v>Тихомирова, Земцов</v>
      </c>
      <c r="D37" s="84"/>
      <c r="E37" s="85"/>
      <c r="F37" s="27">
        <v>3</v>
      </c>
      <c r="G37" s="28">
        <v>13</v>
      </c>
      <c r="H37" s="86" t="str">
        <f ca="1">IF(ISBLANK(INDIRECT(ADDRESS(K37*2+2,3))),"",INDIRECT(ADDRESS(K37*2+2,3)))</f>
        <v>Хафизова, Хафидо</v>
      </c>
      <c r="I37" s="84"/>
      <c r="J37" s="84"/>
      <c r="K37" s="26">
        <v>3</v>
      </c>
      <c r="L37" s="29" t="s">
        <v>6</v>
      </c>
      <c r="M37" s="44">
        <v>5</v>
      </c>
    </row>
    <row r="38" spans="1:13" s="25" customFormat="1" ht="30" customHeight="1" x14ac:dyDescent="0.35">
      <c r="A38" s="24"/>
      <c r="M38" s="30"/>
    </row>
    <row r="39" spans="1:13" s="25" customFormat="1" ht="30" customHeight="1" thickBot="1" x14ac:dyDescent="0.4">
      <c r="A39" s="24"/>
      <c r="B39" s="70" t="s">
        <v>11</v>
      </c>
      <c r="C39" s="70"/>
      <c r="D39" s="70"/>
      <c r="E39" s="70"/>
      <c r="F39" s="70"/>
      <c r="G39" s="70"/>
      <c r="H39" s="70"/>
      <c r="I39" s="70"/>
      <c r="J39" s="70"/>
      <c r="K39" s="70"/>
      <c r="M39" s="30"/>
    </row>
    <row r="40" spans="1:13" s="25" customFormat="1" ht="30" customHeight="1" thickBot="1" x14ac:dyDescent="0.4">
      <c r="A40" s="24"/>
      <c r="B40" s="26">
        <v>3</v>
      </c>
      <c r="C40" s="84" t="str">
        <f ca="1">IF(ISBLANK(INDIRECT(ADDRESS(B40*2+2,3))),"",INDIRECT(ADDRESS(B40*2+2,3)))</f>
        <v>Хафизова, Хафидо</v>
      </c>
      <c r="D40" s="84"/>
      <c r="E40" s="85"/>
      <c r="F40" s="27">
        <v>13</v>
      </c>
      <c r="G40" s="28">
        <v>4</v>
      </c>
      <c r="H40" s="86" t="str">
        <f ca="1">IF(ISBLANK(INDIRECT(ADDRESS(K40*2+2,3))),"",INDIRECT(ADDRESS(K40*2+2,3)))</f>
        <v>Гурина, Карасев</v>
      </c>
      <c r="I40" s="84"/>
      <c r="J40" s="84"/>
      <c r="K40" s="26">
        <v>6</v>
      </c>
      <c r="L40" s="29" t="s">
        <v>6</v>
      </c>
      <c r="M40" s="44">
        <v>7</v>
      </c>
    </row>
    <row r="41" spans="1:13" s="25" customFormat="1" ht="30" customHeight="1" thickBot="1" x14ac:dyDescent="0.4">
      <c r="A41" s="24"/>
      <c r="B41" s="26">
        <v>4</v>
      </c>
      <c r="C41" s="84" t="str">
        <f ca="1">IF(ISBLANK(INDIRECT(ADDRESS(B41*2+2,3))),"",INDIRECT(ADDRESS(B41*2+2,3)))</f>
        <v>Гришковы</v>
      </c>
      <c r="D41" s="84"/>
      <c r="E41" s="85"/>
      <c r="F41" s="27">
        <v>5</v>
      </c>
      <c r="G41" s="28">
        <v>13</v>
      </c>
      <c r="H41" s="86" t="str">
        <f ca="1">IF(ISBLANK(INDIRECT(ADDRESS(K41*2+2,3))),"",INDIRECT(ADDRESS(K41*2+2,3)))</f>
        <v>Тихомирова, Земцов</v>
      </c>
      <c r="I41" s="84"/>
      <c r="J41" s="84"/>
      <c r="K41" s="26">
        <v>2</v>
      </c>
      <c r="L41" s="29" t="s">
        <v>6</v>
      </c>
      <c r="M41" s="44">
        <v>8</v>
      </c>
    </row>
    <row r="42" spans="1:13" s="25" customFormat="1" ht="30" customHeight="1" thickBot="1" x14ac:dyDescent="0.4">
      <c r="A42" s="24"/>
      <c r="B42" s="26">
        <v>5</v>
      </c>
      <c r="C42" s="123" t="str">
        <f ca="1">IF(ISBLANK(INDIRECT(ADDRESS(B42*2+2,3))),"",INDIRECT(ADDRESS(B42*2+2,3)))</f>
        <v>Кирменская, Федотовский</v>
      </c>
      <c r="D42" s="123"/>
      <c r="E42" s="124"/>
      <c r="F42" s="27">
        <v>7</v>
      </c>
      <c r="G42" s="28">
        <v>9</v>
      </c>
      <c r="H42" s="86" t="str">
        <f ca="1">IF(ISBLANK(INDIRECT(ADDRESS(K42*2+2,3))),"",INDIRECT(ADDRESS(K42*2+2,3)))</f>
        <v>Крошилова, Тихонов</v>
      </c>
      <c r="I42" s="84"/>
      <c r="J42" s="84"/>
      <c r="K42" s="26">
        <v>1</v>
      </c>
      <c r="L42" s="29" t="s">
        <v>6</v>
      </c>
      <c r="M42" s="44">
        <v>9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P9" sqref="P9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6" customHeight="1" x14ac:dyDescent="0.25">
      <c r="B1" s="104" t="s">
        <v>109</v>
      </c>
      <c r="C1" s="104"/>
      <c r="D1" s="104"/>
      <c r="E1" s="104"/>
      <c r="F1" s="104"/>
      <c r="G1" s="104"/>
      <c r="H1" s="104"/>
      <c r="I1" s="104"/>
      <c r="J1" s="104"/>
      <c r="K1" s="104"/>
      <c r="M1"/>
    </row>
    <row r="2" spans="2:13" ht="15.75" thickBot="1" x14ac:dyDescent="0.3">
      <c r="M2"/>
    </row>
    <row r="3" spans="2:13" ht="30" customHeight="1" thickBot="1" x14ac:dyDescent="0.3">
      <c r="B3" s="48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48" t="s">
        <v>1</v>
      </c>
      <c r="L3" s="4" t="s">
        <v>2</v>
      </c>
      <c r="M3" s="6" t="s">
        <v>3</v>
      </c>
    </row>
    <row r="4" spans="2:13" ht="24" customHeight="1" x14ac:dyDescent="0.25">
      <c r="B4" s="75">
        <v>1</v>
      </c>
      <c r="C4" s="125" t="s">
        <v>141</v>
      </c>
      <c r="D4" s="126"/>
      <c r="E4" s="127"/>
      <c r="F4" s="7" t="s">
        <v>4</v>
      </c>
      <c r="G4" s="8" t="str">
        <f ca="1">INDIRECT(ADDRESS(23,6))&amp;":"&amp;INDIRECT(ADDRESS(23,7))</f>
        <v>7:12</v>
      </c>
      <c r="H4" s="8" t="str">
        <f ca="1">INDIRECT(ADDRESS(26,7))&amp;":"&amp;INDIRECT(ADDRESS(26,6))</f>
        <v>12:8</v>
      </c>
      <c r="I4" s="8" t="str">
        <f ca="1">INDIRECT(ADDRESS(30,6))&amp;":"&amp;INDIRECT(ADDRESS(30,7))</f>
        <v>7:11</v>
      </c>
      <c r="J4" s="9" t="str">
        <f ca="1">INDIRECT(ADDRESS(35,7))&amp;":"&amp;INDIRECT(ADDRESS(35,6))</f>
        <v>13:2</v>
      </c>
      <c r="K4" s="95">
        <f ca="1">IF(COUNT(F5:J5)=0,"",COUNTIF(F5:J5,"&gt;0")+0.5*COUNTIF(F5:J5,0))</f>
        <v>2</v>
      </c>
      <c r="L4" s="10">
        <v>7</v>
      </c>
      <c r="M4" s="93">
        <v>2</v>
      </c>
    </row>
    <row r="5" spans="2:13" ht="24" customHeight="1" x14ac:dyDescent="0.25">
      <c r="B5" s="76"/>
      <c r="C5" s="110"/>
      <c r="D5" s="111"/>
      <c r="E5" s="112"/>
      <c r="F5" s="11" t="s">
        <v>4</v>
      </c>
      <c r="G5" s="12">
        <f ca="1">IF(LEN(INDIRECT(ADDRESS(ROW()-1, COLUMN())))=1,"",INDIRECT(ADDRESS(23,6))-INDIRECT(ADDRESS(23,7)))</f>
        <v>-5</v>
      </c>
      <c r="H5" s="12">
        <f ca="1">IF(LEN(INDIRECT(ADDRESS(ROW()-1, COLUMN())))=1,"",INDIRECT(ADDRESS(26,7))-INDIRECT(ADDRESS(26,6)))</f>
        <v>4</v>
      </c>
      <c r="I5" s="12">
        <f ca="1">IF(LEN(INDIRECT(ADDRESS(ROW()-1, COLUMN())))=1,"",INDIRECT(ADDRESS(30,6))-INDIRECT(ADDRESS(30,7)))</f>
        <v>-4</v>
      </c>
      <c r="J5" s="13">
        <f ca="1">IF(LEN(INDIRECT(ADDRESS(ROW()-1, COLUMN())))=1,"",INDIRECT(ADDRESS(35,7))-INDIRECT(ADDRESS(35,6)))</f>
        <v>11</v>
      </c>
      <c r="K5" s="83"/>
      <c r="L5" s="12">
        <f ca="1">IF(COUNT(F5:J5)=0,"",SUM(F5:J5))</f>
        <v>6</v>
      </c>
      <c r="M5" s="94"/>
    </row>
    <row r="6" spans="2:13" ht="24" customHeight="1" x14ac:dyDescent="0.25">
      <c r="B6" s="87">
        <v>2</v>
      </c>
      <c r="C6" s="80" t="s">
        <v>142</v>
      </c>
      <c r="D6" s="81"/>
      <c r="E6" s="82"/>
      <c r="F6" s="14" t="str">
        <f ca="1">INDIRECT(ADDRESS(23,7))&amp;":"&amp;INDIRECT(ADDRESS(23,6))</f>
        <v>12:7</v>
      </c>
      <c r="G6" s="15" t="s">
        <v>4</v>
      </c>
      <c r="H6" s="16" t="str">
        <f ca="1">INDIRECT(ADDRESS(31,6))&amp;":"&amp;INDIRECT(ADDRESS(31,7))</f>
        <v>1:13</v>
      </c>
      <c r="I6" s="16" t="str">
        <f ca="1">INDIRECT(ADDRESS(34,7))&amp;":"&amp;INDIRECT(ADDRESS(34,6))</f>
        <v>4:13</v>
      </c>
      <c r="J6" s="17" t="str">
        <f ca="1">INDIRECT(ADDRESS(18,6))&amp;":"&amp;INDIRECT(ADDRESS(18,7))</f>
        <v>1:13</v>
      </c>
      <c r="K6" s="83">
        <f ca="1">IF(COUNT(F7:J7)=0,"",COUNTIF(F7:J7,"&gt;0")+0.5*COUNTIF(F7:J7,0))</f>
        <v>1</v>
      </c>
      <c r="L6" s="12"/>
      <c r="M6" s="94">
        <v>5</v>
      </c>
    </row>
    <row r="7" spans="2:13" ht="24" customHeight="1" x14ac:dyDescent="0.25">
      <c r="B7" s="76"/>
      <c r="C7" s="80"/>
      <c r="D7" s="81"/>
      <c r="E7" s="82"/>
      <c r="F7" s="18">
        <f ca="1">IF(LEN(INDIRECT(ADDRESS(ROW()-1, COLUMN())))=1,"",INDIRECT(ADDRESS(23,7))-INDIRECT(ADDRESS(23,6)))</f>
        <v>5</v>
      </c>
      <c r="G7" s="19" t="s">
        <v>4</v>
      </c>
      <c r="H7" s="12">
        <f ca="1">IF(LEN(INDIRECT(ADDRESS(ROW()-1, COLUMN())))=1,"",INDIRECT(ADDRESS(31,6))-INDIRECT(ADDRESS(31,7)))</f>
        <v>-12</v>
      </c>
      <c r="I7" s="12">
        <f ca="1">IF(LEN(INDIRECT(ADDRESS(ROW()-1, COLUMN())))=1,"",INDIRECT(ADDRESS(34,7))-INDIRECT(ADDRESS(34,6)))</f>
        <v>-9</v>
      </c>
      <c r="J7" s="13">
        <f ca="1">IF(LEN(INDIRECT(ADDRESS(ROW()-1, COLUMN())))=1,"",INDIRECT(ADDRESS(18,6))-INDIRECT(ADDRESS(18,7)))</f>
        <v>-12</v>
      </c>
      <c r="K7" s="83"/>
      <c r="L7" s="12">
        <f ca="1">IF(COUNT(F7:J7)=0,"",SUM(F7:J7))</f>
        <v>-28</v>
      </c>
      <c r="M7" s="94"/>
    </row>
    <row r="8" spans="2:13" ht="24" customHeight="1" x14ac:dyDescent="0.25">
      <c r="B8" s="87">
        <v>3</v>
      </c>
      <c r="C8" s="110" t="s">
        <v>143</v>
      </c>
      <c r="D8" s="111"/>
      <c r="E8" s="112"/>
      <c r="F8" s="14" t="str">
        <f ca="1">INDIRECT(ADDRESS(26,6))&amp;":"&amp;INDIRECT(ADDRESS(26,7))</f>
        <v>8:12</v>
      </c>
      <c r="G8" s="16" t="str">
        <f ca="1">INDIRECT(ADDRESS(31,7))&amp;":"&amp;INDIRECT(ADDRESS(31,6))</f>
        <v>13:1</v>
      </c>
      <c r="H8" s="15" t="s">
        <v>4</v>
      </c>
      <c r="I8" s="16" t="str">
        <f ca="1">INDIRECT(ADDRESS(19,6))&amp;":"&amp;INDIRECT(ADDRESS(19,7))</f>
        <v>13:8</v>
      </c>
      <c r="J8" s="17" t="str">
        <f ca="1">INDIRECT(ADDRESS(22,7))&amp;":"&amp;INDIRECT(ADDRESS(22,6))</f>
        <v>13:7</v>
      </c>
      <c r="K8" s="83">
        <f ca="1">IF(COUNT(F9:J9)=0,"",COUNTIF(F9:J9,"&gt;0")+0.5*COUNTIF(F9:J9,0))</f>
        <v>3</v>
      </c>
      <c r="L8" s="12"/>
      <c r="M8" s="94">
        <v>1</v>
      </c>
    </row>
    <row r="9" spans="2:13" ht="24" customHeight="1" x14ac:dyDescent="0.25">
      <c r="B9" s="76"/>
      <c r="C9" s="110"/>
      <c r="D9" s="111"/>
      <c r="E9" s="112"/>
      <c r="F9" s="18">
        <f ca="1">IF(LEN(INDIRECT(ADDRESS(ROW()-1, COLUMN())))=1,"",INDIRECT(ADDRESS(26,6))-INDIRECT(ADDRESS(26,7)))</f>
        <v>-4</v>
      </c>
      <c r="G9" s="12">
        <f ca="1">IF(LEN(INDIRECT(ADDRESS(ROW()-1, COLUMN())))=1,"",INDIRECT(ADDRESS(31,7))-INDIRECT(ADDRESS(31,6)))</f>
        <v>12</v>
      </c>
      <c r="H9" s="19" t="s">
        <v>4</v>
      </c>
      <c r="I9" s="12">
        <f ca="1">IF(LEN(INDIRECT(ADDRESS(ROW()-1, COLUMN())))=1,"",INDIRECT(ADDRESS(19,6))-INDIRECT(ADDRESS(19,7)))</f>
        <v>5</v>
      </c>
      <c r="J9" s="13">
        <f ca="1">IF(LEN(INDIRECT(ADDRESS(ROW()-1, COLUMN())))=1,"",INDIRECT(ADDRESS(22,7))-INDIRECT(ADDRESS(22,6)))</f>
        <v>6</v>
      </c>
      <c r="K9" s="83"/>
      <c r="L9" s="12">
        <f ca="1">IF(COUNT(F9:J9)=0,"",SUM(F9:J9))</f>
        <v>19</v>
      </c>
      <c r="M9" s="94"/>
    </row>
    <row r="10" spans="2:13" ht="24" customHeight="1" x14ac:dyDescent="0.25">
      <c r="B10" s="87">
        <v>4</v>
      </c>
      <c r="C10" s="80" t="s">
        <v>144</v>
      </c>
      <c r="D10" s="81"/>
      <c r="E10" s="82"/>
      <c r="F10" s="14" t="str">
        <f ca="1">INDIRECT(ADDRESS(30,7))&amp;":"&amp;INDIRECT(ADDRESS(30,6))</f>
        <v>11:7</v>
      </c>
      <c r="G10" s="16" t="str">
        <f ca="1">INDIRECT(ADDRESS(34,6))&amp;":"&amp;INDIRECT(ADDRESS(34,7))</f>
        <v>13:4</v>
      </c>
      <c r="H10" s="16" t="str">
        <f ca="1">INDIRECT(ADDRESS(19,7))&amp;":"&amp;INDIRECT(ADDRESS(19,6))</f>
        <v>8:13</v>
      </c>
      <c r="I10" s="15" t="s">
        <v>4</v>
      </c>
      <c r="J10" s="17" t="str">
        <f ca="1">INDIRECT(ADDRESS(27,6))&amp;":"&amp;INDIRECT(ADDRESS(27,7))</f>
        <v>4:13</v>
      </c>
      <c r="K10" s="83">
        <f ca="1">IF(COUNT(F11:J11)=0,"",COUNTIF(F11:J11,"&gt;0")+0.5*COUNTIF(F11:J11,0))</f>
        <v>2</v>
      </c>
      <c r="L10" s="12">
        <v>-5</v>
      </c>
      <c r="M10" s="94">
        <v>4</v>
      </c>
    </row>
    <row r="11" spans="2:13" ht="24" customHeight="1" x14ac:dyDescent="0.25">
      <c r="B11" s="76"/>
      <c r="C11" s="80"/>
      <c r="D11" s="81"/>
      <c r="E11" s="82"/>
      <c r="F11" s="18">
        <f ca="1">IF(LEN(INDIRECT(ADDRESS(ROW()-1, COLUMN())))=1,"",INDIRECT(ADDRESS(30,7))-INDIRECT(ADDRESS(30,6)))</f>
        <v>4</v>
      </c>
      <c r="G11" s="12">
        <f ca="1">IF(LEN(INDIRECT(ADDRESS(ROW()-1, COLUMN())))=1,"",INDIRECT(ADDRESS(34,6))-INDIRECT(ADDRESS(34,7)))</f>
        <v>9</v>
      </c>
      <c r="H11" s="12">
        <f ca="1">IF(LEN(INDIRECT(ADDRESS(ROW()-1, COLUMN())))=1,"",INDIRECT(ADDRESS(19,7))-INDIRECT(ADDRESS(19,6)))</f>
        <v>-5</v>
      </c>
      <c r="I11" s="19" t="s">
        <v>4</v>
      </c>
      <c r="J11" s="13">
        <f ca="1">IF(LEN(INDIRECT(ADDRESS(ROW()-1, COLUMN())))=1,"",INDIRECT(ADDRESS(27,6))-INDIRECT(ADDRESS(27,7)))</f>
        <v>-9</v>
      </c>
      <c r="K11" s="83"/>
      <c r="L11" s="12">
        <f ca="1">IF(COUNT(F11:J11)=0,"",SUM(F11:J11))</f>
        <v>-1</v>
      </c>
      <c r="M11" s="94"/>
    </row>
    <row r="12" spans="2:13" ht="24" customHeight="1" x14ac:dyDescent="0.25">
      <c r="B12" s="87">
        <v>5</v>
      </c>
      <c r="C12" s="80" t="s">
        <v>145</v>
      </c>
      <c r="D12" s="81"/>
      <c r="E12" s="82"/>
      <c r="F12" s="14" t="str">
        <f ca="1">INDIRECT(ADDRESS(35,6))&amp;":"&amp;INDIRECT(ADDRESS(35,7))</f>
        <v>2:13</v>
      </c>
      <c r="G12" s="16" t="str">
        <f ca="1">INDIRECT(ADDRESS(18,7))&amp;":"&amp;INDIRECT(ADDRESS(18,6))</f>
        <v>13:1</v>
      </c>
      <c r="H12" s="16" t="str">
        <f ca="1">INDIRECT(ADDRESS(22,6))&amp;":"&amp;INDIRECT(ADDRESS(22,7))</f>
        <v>7:13</v>
      </c>
      <c r="I12" s="16" t="str">
        <f ca="1">INDIRECT(ADDRESS(27,7))&amp;":"&amp;INDIRECT(ADDRESS(27,6))</f>
        <v>13:4</v>
      </c>
      <c r="J12" s="20" t="s">
        <v>4</v>
      </c>
      <c r="K12" s="83">
        <f ca="1">IF(COUNT(F13:J13)=0,"",COUNTIF(F13:J13,"&gt;0")+0.5*COUNTIF(F13:J13,0))</f>
        <v>2</v>
      </c>
      <c r="L12" s="12">
        <v>-2</v>
      </c>
      <c r="M12" s="94">
        <v>3</v>
      </c>
    </row>
    <row r="13" spans="2:13" ht="24" customHeight="1" thickBot="1" x14ac:dyDescent="0.3">
      <c r="B13" s="88"/>
      <c r="C13" s="89"/>
      <c r="D13" s="90"/>
      <c r="E13" s="91"/>
      <c r="F13" s="21">
        <f ca="1">IF(LEN(INDIRECT(ADDRESS(ROW()-1, COLUMN())))=1,"",INDIRECT(ADDRESS(35,6))-INDIRECT(ADDRESS(35,7)))</f>
        <v>-11</v>
      </c>
      <c r="G13" s="22">
        <f ca="1">IF(LEN(INDIRECT(ADDRESS(ROW()-1, COLUMN())))=1,"",INDIRECT(ADDRESS(18,7))-INDIRECT(ADDRESS(18,6)))</f>
        <v>12</v>
      </c>
      <c r="H13" s="22">
        <f ca="1">IF(LEN(INDIRECT(ADDRESS(ROW()-1, COLUMN())))=1,"",INDIRECT(ADDRESS(22,6))-INDIRECT(ADDRESS(22,7)))</f>
        <v>-6</v>
      </c>
      <c r="I13" s="22">
        <f ca="1">IF(LEN(INDIRECT(ADDRESS(ROW()-1, COLUMN())))=1,"",INDIRECT(ADDRESS(27,7))-INDIRECT(ADDRESS(27,6)))</f>
        <v>9</v>
      </c>
      <c r="J13" s="23" t="s">
        <v>4</v>
      </c>
      <c r="K13" s="92"/>
      <c r="L13" s="22">
        <f ca="1">IF(COUNT(F13:J13)=0,"",SUM(F13:J13))</f>
        <v>4</v>
      </c>
      <c r="M13" s="9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5" customFormat="1" ht="30" customHeight="1" thickBot="1" x14ac:dyDescent="0.4">
      <c r="A17" s="24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40"/>
    </row>
    <row r="18" spans="1:13" s="25" customFormat="1" ht="30" customHeight="1" thickBot="1" x14ac:dyDescent="0.4">
      <c r="A18" s="24"/>
      <c r="B18" s="26">
        <v>2</v>
      </c>
      <c r="C18" s="84" t="str">
        <f ca="1">IF(ISBLANK(INDIRECT(ADDRESS(B18*2+2,3))),"",INDIRECT(ADDRESS(B18*2+2,3)))</f>
        <v>Акаемовы</v>
      </c>
      <c r="D18" s="84"/>
      <c r="E18" s="85"/>
      <c r="F18" s="27">
        <v>1</v>
      </c>
      <c r="G18" s="28">
        <v>13</v>
      </c>
      <c r="H18" s="86" t="str">
        <f ca="1">IF(ISBLANK(INDIRECT(ADDRESS(K18*2+2,3))),"",INDIRECT(ADDRESS(K18*2+2,3)))</f>
        <v>Петровы</v>
      </c>
      <c r="I18" s="84"/>
      <c r="J18" s="84"/>
      <c r="K18" s="26">
        <v>5</v>
      </c>
      <c r="L18" s="29" t="s">
        <v>6</v>
      </c>
      <c r="M18" s="47">
        <v>7</v>
      </c>
    </row>
    <row r="19" spans="1:13" s="25" customFormat="1" ht="30" customHeight="1" thickBot="1" x14ac:dyDescent="0.4">
      <c r="A19" s="24"/>
      <c r="B19" s="26">
        <v>3</v>
      </c>
      <c r="C19" s="84" t="str">
        <f ca="1">IF(ISBLANK(INDIRECT(ADDRESS(B19*2+2,3))),"",INDIRECT(ADDRESS(B19*2+2,3)))</f>
        <v>Коппа, Жака</v>
      </c>
      <c r="D19" s="84"/>
      <c r="E19" s="85"/>
      <c r="F19" s="27">
        <v>13</v>
      </c>
      <c r="G19" s="28">
        <v>8</v>
      </c>
      <c r="H19" s="86" t="str">
        <f ca="1">IF(ISBLANK(INDIRECT(ADDRESS(K19*2+2,3))),"",INDIRECT(ADDRESS(K19*2+2,3)))</f>
        <v>Воробьева, Бейгер</v>
      </c>
      <c r="I19" s="84"/>
      <c r="J19" s="84"/>
      <c r="K19" s="26">
        <v>4</v>
      </c>
      <c r="L19" s="29" t="s">
        <v>6</v>
      </c>
      <c r="M19" s="47">
        <v>8</v>
      </c>
    </row>
    <row r="20" spans="1:13" s="25" customFormat="1" ht="30" customHeight="1" x14ac:dyDescent="0.35">
      <c r="A20" s="24"/>
      <c r="M20" s="30"/>
    </row>
    <row r="21" spans="1:13" s="25" customFormat="1" ht="30" customHeight="1" thickBot="1" x14ac:dyDescent="0.4">
      <c r="A21" s="24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0"/>
    </row>
    <row r="22" spans="1:13" s="25" customFormat="1" ht="30" customHeight="1" thickBot="1" x14ac:dyDescent="0.4">
      <c r="A22" s="24"/>
      <c r="B22" s="26">
        <v>5</v>
      </c>
      <c r="C22" s="84" t="str">
        <f ca="1">IF(ISBLANK(INDIRECT(ADDRESS(B22*2+2,3))),"",INDIRECT(ADDRESS(B22*2+2,3)))</f>
        <v>Петровы</v>
      </c>
      <c r="D22" s="84"/>
      <c r="E22" s="85"/>
      <c r="F22" s="27">
        <v>7</v>
      </c>
      <c r="G22" s="28">
        <v>13</v>
      </c>
      <c r="H22" s="86" t="str">
        <f ca="1">IF(ISBLANK(INDIRECT(ADDRESS(K22*2+2,3))),"",INDIRECT(ADDRESS(K22*2+2,3)))</f>
        <v>Коппа, Жака</v>
      </c>
      <c r="I22" s="84"/>
      <c r="J22" s="84"/>
      <c r="K22" s="26">
        <v>3</v>
      </c>
      <c r="L22" s="29" t="s">
        <v>6</v>
      </c>
      <c r="M22" s="47">
        <v>1</v>
      </c>
    </row>
    <row r="23" spans="1:13" s="25" customFormat="1" ht="30" customHeight="1" thickBot="1" x14ac:dyDescent="0.4">
      <c r="A23" s="24"/>
      <c r="B23" s="26">
        <v>1</v>
      </c>
      <c r="C23" s="84" t="str">
        <f ca="1">IF(ISBLANK(INDIRECT(ADDRESS(B23*2+2,3))),"",INDIRECT(ADDRESS(B23*2+2,3)))</f>
        <v>Зубова, Трутнев</v>
      </c>
      <c r="D23" s="84"/>
      <c r="E23" s="85"/>
      <c r="F23" s="27">
        <v>7</v>
      </c>
      <c r="G23" s="28">
        <v>12</v>
      </c>
      <c r="H23" s="86" t="str">
        <f ca="1">IF(ISBLANK(INDIRECT(ADDRESS(K23*2+2,3))),"",INDIRECT(ADDRESS(K23*2+2,3)))</f>
        <v>Акаемовы</v>
      </c>
      <c r="I23" s="84"/>
      <c r="J23" s="84"/>
      <c r="K23" s="26">
        <v>2</v>
      </c>
      <c r="L23" s="29" t="s">
        <v>6</v>
      </c>
      <c r="M23" s="47">
        <v>2</v>
      </c>
    </row>
    <row r="24" spans="1:13" s="25" customFormat="1" ht="30" customHeight="1" x14ac:dyDescent="0.35">
      <c r="A24" s="24"/>
      <c r="M24" s="30"/>
    </row>
    <row r="25" spans="1:13" s="25" customFormat="1" ht="30" customHeight="1" thickBot="1" x14ac:dyDescent="0.4">
      <c r="A25" s="24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0"/>
    </row>
    <row r="26" spans="1:13" s="25" customFormat="1" ht="30" customHeight="1" thickBot="1" x14ac:dyDescent="0.4">
      <c r="A26" s="24"/>
      <c r="B26" s="26">
        <v>3</v>
      </c>
      <c r="C26" s="84" t="str">
        <f ca="1">IF(ISBLANK(INDIRECT(ADDRESS(B26*2+2,3))),"",INDIRECT(ADDRESS(B26*2+2,3)))</f>
        <v>Коппа, Жака</v>
      </c>
      <c r="D26" s="84"/>
      <c r="E26" s="85"/>
      <c r="F26" s="27">
        <v>8</v>
      </c>
      <c r="G26" s="28">
        <v>12</v>
      </c>
      <c r="H26" s="86" t="str">
        <f ca="1">IF(ISBLANK(INDIRECT(ADDRESS(K26*2+2,3))),"",INDIRECT(ADDRESS(K26*2+2,3)))</f>
        <v>Зубова, Трутнев</v>
      </c>
      <c r="I26" s="84"/>
      <c r="J26" s="84"/>
      <c r="K26" s="26">
        <v>1</v>
      </c>
      <c r="L26" s="29" t="s">
        <v>6</v>
      </c>
      <c r="M26" s="47">
        <v>5</v>
      </c>
    </row>
    <row r="27" spans="1:13" s="25" customFormat="1" ht="30" customHeight="1" thickBot="1" x14ac:dyDescent="0.4">
      <c r="A27" s="24"/>
      <c r="B27" s="26">
        <v>4</v>
      </c>
      <c r="C27" s="84" t="str">
        <f ca="1">IF(ISBLANK(INDIRECT(ADDRESS(B27*2+2,3))),"",INDIRECT(ADDRESS(B27*2+2,3)))</f>
        <v>Воробьева, Бейгер</v>
      </c>
      <c r="D27" s="84"/>
      <c r="E27" s="85"/>
      <c r="F27" s="27">
        <v>4</v>
      </c>
      <c r="G27" s="28">
        <v>13</v>
      </c>
      <c r="H27" s="86" t="str">
        <f ca="1">IF(ISBLANK(INDIRECT(ADDRESS(K27*2+2,3))),"",INDIRECT(ADDRESS(K27*2+2,3)))</f>
        <v>Петровы</v>
      </c>
      <c r="I27" s="84"/>
      <c r="J27" s="84"/>
      <c r="K27" s="26">
        <v>5</v>
      </c>
      <c r="L27" s="29" t="s">
        <v>6</v>
      </c>
      <c r="M27" s="47">
        <v>6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10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1</v>
      </c>
      <c r="C30" s="84" t="str">
        <f ca="1">IF(ISBLANK(INDIRECT(ADDRESS(B30*2+2,3))),"",INDIRECT(ADDRESS(B30*2+2,3)))</f>
        <v>Зубова, Трутнев</v>
      </c>
      <c r="D30" s="84"/>
      <c r="E30" s="85"/>
      <c r="F30" s="27">
        <v>7</v>
      </c>
      <c r="G30" s="28">
        <v>11</v>
      </c>
      <c r="H30" s="86" t="str">
        <f ca="1">IF(ISBLANK(INDIRECT(ADDRESS(K30*2+2,3))),"",INDIRECT(ADDRESS(K30*2+2,3)))</f>
        <v>Воробьева, Бейгер</v>
      </c>
      <c r="I30" s="84"/>
      <c r="J30" s="84"/>
      <c r="K30" s="26">
        <v>4</v>
      </c>
      <c r="L30" s="29" t="s">
        <v>6</v>
      </c>
      <c r="M30" s="47">
        <v>9</v>
      </c>
    </row>
    <row r="31" spans="1:13" s="25" customFormat="1" ht="30" customHeight="1" thickBot="1" x14ac:dyDescent="0.4">
      <c r="A31" s="24"/>
      <c r="B31" s="26">
        <v>2</v>
      </c>
      <c r="C31" s="84" t="str">
        <f ca="1">IF(ISBLANK(INDIRECT(ADDRESS(B31*2+2,3))),"",INDIRECT(ADDRESS(B31*2+2,3)))</f>
        <v>Акаемовы</v>
      </c>
      <c r="D31" s="84"/>
      <c r="E31" s="85"/>
      <c r="F31" s="27">
        <v>1</v>
      </c>
      <c r="G31" s="28">
        <v>13</v>
      </c>
      <c r="H31" s="86" t="str">
        <f ca="1">IF(ISBLANK(INDIRECT(ADDRESS(K31*2+2,3))),"",INDIRECT(ADDRESS(K31*2+2,3)))</f>
        <v>Коппа, Жака</v>
      </c>
      <c r="I31" s="84"/>
      <c r="J31" s="84"/>
      <c r="K31" s="26">
        <v>3</v>
      </c>
      <c r="L31" s="29" t="s">
        <v>6</v>
      </c>
      <c r="M31" s="47">
        <v>10</v>
      </c>
    </row>
    <row r="32" spans="1:13" s="25" customFormat="1" ht="30" customHeight="1" x14ac:dyDescent="0.35">
      <c r="A32" s="24"/>
      <c r="M32" s="30"/>
    </row>
    <row r="33" spans="1:13" s="25" customFormat="1" ht="30" customHeight="1" thickBot="1" x14ac:dyDescent="0.4">
      <c r="A33" s="24"/>
      <c r="B33" s="70" t="s">
        <v>11</v>
      </c>
      <c r="C33" s="70"/>
      <c r="D33" s="70"/>
      <c r="E33" s="70"/>
      <c r="F33" s="70"/>
      <c r="G33" s="70"/>
      <c r="H33" s="70"/>
      <c r="I33" s="70"/>
      <c r="J33" s="70"/>
      <c r="K33" s="70"/>
      <c r="M33" s="30"/>
    </row>
    <row r="34" spans="1:13" s="25" customFormat="1" ht="30" customHeight="1" thickBot="1" x14ac:dyDescent="0.4">
      <c r="A34" s="24"/>
      <c r="B34" s="26">
        <v>4</v>
      </c>
      <c r="C34" s="84" t="str">
        <f ca="1">IF(ISBLANK(INDIRECT(ADDRESS(B34*2+2,3))),"",INDIRECT(ADDRESS(B34*2+2,3)))</f>
        <v>Воробьева, Бейгер</v>
      </c>
      <c r="D34" s="84"/>
      <c r="E34" s="85"/>
      <c r="F34" s="27">
        <v>13</v>
      </c>
      <c r="G34" s="28">
        <v>4</v>
      </c>
      <c r="H34" s="86" t="str">
        <f ca="1">IF(ISBLANK(INDIRECT(ADDRESS(K34*2+2,3))),"",INDIRECT(ADDRESS(K34*2+2,3)))</f>
        <v>Акаемовы</v>
      </c>
      <c r="I34" s="84"/>
      <c r="J34" s="84"/>
      <c r="K34" s="26">
        <v>2</v>
      </c>
      <c r="L34" s="29" t="s">
        <v>6</v>
      </c>
      <c r="M34" s="47">
        <v>3</v>
      </c>
    </row>
    <row r="35" spans="1:13" s="25" customFormat="1" ht="30" customHeight="1" thickBot="1" x14ac:dyDescent="0.4">
      <c r="A35" s="24"/>
      <c r="B35" s="26">
        <v>5</v>
      </c>
      <c r="C35" s="84" t="str">
        <f ca="1">IF(ISBLANK(INDIRECT(ADDRESS(B35*2+2,3))),"",INDIRECT(ADDRESS(B35*2+2,3)))</f>
        <v>Петровы</v>
      </c>
      <c r="D35" s="84"/>
      <c r="E35" s="85"/>
      <c r="F35" s="27">
        <v>2</v>
      </c>
      <c r="G35" s="28">
        <v>13</v>
      </c>
      <c r="H35" s="86" t="str">
        <f ca="1">IF(ISBLANK(INDIRECT(ADDRESS(K35*2+2,3))),"",INDIRECT(ADDRESS(K35*2+2,3)))</f>
        <v>Зубова, Трутнев</v>
      </c>
      <c r="I35" s="84"/>
      <c r="J35" s="84"/>
      <c r="K35" s="26">
        <v>1</v>
      </c>
      <c r="L35" s="29" t="s">
        <v>6</v>
      </c>
      <c r="M35" s="47">
        <v>4</v>
      </c>
    </row>
  </sheetData>
  <mergeCells count="47">
    <mergeCell ref="K4:K5"/>
    <mergeCell ref="M4:M5"/>
    <mergeCell ref="K6:K7"/>
    <mergeCell ref="M6:M7"/>
    <mergeCell ref="B1:K1"/>
    <mergeCell ref="C3:E3"/>
    <mergeCell ref="B4:B5"/>
    <mergeCell ref="C4:E5"/>
    <mergeCell ref="B6:B7"/>
    <mergeCell ref="C6:E7"/>
    <mergeCell ref="B8:B9"/>
    <mergeCell ref="C8:E9"/>
    <mergeCell ref="K8:K9"/>
    <mergeCell ref="M8:M9"/>
    <mergeCell ref="B10:B11"/>
    <mergeCell ref="C10:E11"/>
    <mergeCell ref="B12:B13"/>
    <mergeCell ref="C12:E13"/>
    <mergeCell ref="K10:K11"/>
    <mergeCell ref="M10:M11"/>
    <mergeCell ref="K12:K13"/>
    <mergeCell ref="M12:M13"/>
    <mergeCell ref="B17:K17"/>
    <mergeCell ref="C18:E18"/>
    <mergeCell ref="H18:J18"/>
    <mergeCell ref="C19:E19"/>
    <mergeCell ref="H19:J19"/>
    <mergeCell ref="B21:K21"/>
    <mergeCell ref="C23:E23"/>
    <mergeCell ref="H23:J23"/>
    <mergeCell ref="B25:K25"/>
    <mergeCell ref="C22:E22"/>
    <mergeCell ref="H22:J22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1:E31"/>
    <mergeCell ref="H31:J31"/>
  </mergeCells>
  <pageMargins left="0.25" right="0.25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1" sqref="O11"/>
    </sheetView>
  </sheetViews>
  <sheetFormatPr defaultRowHeight="15" x14ac:dyDescent="0.25"/>
  <cols>
    <col min="1" max="1" width="4" style="46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6" customHeight="1" x14ac:dyDescent="0.25">
      <c r="B1" s="104" t="s">
        <v>110</v>
      </c>
      <c r="C1" s="104"/>
      <c r="D1" s="104"/>
      <c r="E1" s="104"/>
      <c r="F1" s="104"/>
      <c r="G1" s="104"/>
      <c r="H1" s="104"/>
      <c r="I1" s="104"/>
      <c r="J1" s="104"/>
      <c r="K1" s="104"/>
      <c r="M1"/>
    </row>
    <row r="2" spans="2:13" ht="15.75" thickBot="1" x14ac:dyDescent="0.3">
      <c r="M2"/>
    </row>
    <row r="3" spans="2:13" ht="30" customHeight="1" thickBot="1" x14ac:dyDescent="0.3">
      <c r="B3" s="45"/>
      <c r="C3" s="72" t="s">
        <v>0</v>
      </c>
      <c r="D3" s="73"/>
      <c r="E3" s="74"/>
      <c r="F3" s="4">
        <v>1</v>
      </c>
      <c r="G3" s="4">
        <v>2</v>
      </c>
      <c r="H3" s="4">
        <v>3</v>
      </c>
      <c r="I3" s="5">
        <v>4</v>
      </c>
      <c r="J3" s="5">
        <v>5</v>
      </c>
      <c r="K3" s="45" t="s">
        <v>1</v>
      </c>
      <c r="L3" s="4" t="s">
        <v>2</v>
      </c>
      <c r="M3" s="6" t="s">
        <v>3</v>
      </c>
    </row>
    <row r="4" spans="2:13" ht="24" customHeight="1" x14ac:dyDescent="0.25">
      <c r="B4" s="75">
        <v>1</v>
      </c>
      <c r="C4" s="125" t="s">
        <v>146</v>
      </c>
      <c r="D4" s="126"/>
      <c r="E4" s="127"/>
      <c r="F4" s="7" t="s">
        <v>4</v>
      </c>
      <c r="G4" s="8" t="str">
        <f ca="1">INDIRECT(ADDRESS(23,6))&amp;":"&amp;INDIRECT(ADDRESS(23,7))</f>
        <v>13:11</v>
      </c>
      <c r="H4" s="8" t="str">
        <f ca="1">INDIRECT(ADDRESS(26,7))&amp;":"&amp;INDIRECT(ADDRESS(26,6))</f>
        <v>9:12</v>
      </c>
      <c r="I4" s="8" t="str">
        <f ca="1">INDIRECT(ADDRESS(30,6))&amp;":"&amp;INDIRECT(ADDRESS(30,7))</f>
        <v>12:9</v>
      </c>
      <c r="J4" s="9" t="str">
        <f ca="1">INDIRECT(ADDRESS(35,7))&amp;":"&amp;INDIRECT(ADDRESS(35,6))</f>
        <v>13:0</v>
      </c>
      <c r="K4" s="95">
        <f ca="1">IF(COUNT(F5:J5)=0,"",COUNTIF(F5:J5,"&gt;0")+0.5*COUNTIF(F5:J5,0))</f>
        <v>3</v>
      </c>
      <c r="L4" s="10"/>
      <c r="M4" s="93">
        <v>2</v>
      </c>
    </row>
    <row r="5" spans="2:13" ht="24" customHeight="1" x14ac:dyDescent="0.25">
      <c r="B5" s="76"/>
      <c r="C5" s="110"/>
      <c r="D5" s="111"/>
      <c r="E5" s="112"/>
      <c r="F5" s="11" t="s">
        <v>4</v>
      </c>
      <c r="G5" s="12">
        <f ca="1">IF(LEN(INDIRECT(ADDRESS(ROW()-1, COLUMN())))=1,"",INDIRECT(ADDRESS(23,6))-INDIRECT(ADDRESS(23,7)))</f>
        <v>2</v>
      </c>
      <c r="H5" s="12">
        <f ca="1">IF(LEN(INDIRECT(ADDRESS(ROW()-1, COLUMN())))=1,"",INDIRECT(ADDRESS(26,7))-INDIRECT(ADDRESS(26,6)))</f>
        <v>-3</v>
      </c>
      <c r="I5" s="12">
        <f ca="1">IF(LEN(INDIRECT(ADDRESS(ROW()-1, COLUMN())))=1,"",INDIRECT(ADDRESS(30,6))-INDIRECT(ADDRESS(30,7)))</f>
        <v>3</v>
      </c>
      <c r="J5" s="13">
        <f ca="1">IF(LEN(INDIRECT(ADDRESS(ROW()-1, COLUMN())))=1,"",INDIRECT(ADDRESS(35,7))-INDIRECT(ADDRESS(35,6)))</f>
        <v>13</v>
      </c>
      <c r="K5" s="83"/>
      <c r="L5" s="12">
        <f ca="1">IF(COUNT(F5:J5)=0,"",SUM(F5:J5))</f>
        <v>15</v>
      </c>
      <c r="M5" s="94"/>
    </row>
    <row r="6" spans="2:13" ht="24" customHeight="1" x14ac:dyDescent="0.25">
      <c r="B6" s="87">
        <v>2</v>
      </c>
      <c r="C6" s="80" t="s">
        <v>147</v>
      </c>
      <c r="D6" s="81"/>
      <c r="E6" s="82"/>
      <c r="F6" s="14" t="str">
        <f ca="1">INDIRECT(ADDRESS(23,7))&amp;":"&amp;INDIRECT(ADDRESS(23,6))</f>
        <v>11:13</v>
      </c>
      <c r="G6" s="15" t="s">
        <v>4</v>
      </c>
      <c r="H6" s="16" t="str">
        <f ca="1">INDIRECT(ADDRESS(31,6))&amp;":"&amp;INDIRECT(ADDRESS(31,7))</f>
        <v>13:4</v>
      </c>
      <c r="I6" s="16" t="str">
        <f ca="1">INDIRECT(ADDRESS(34,7))&amp;":"&amp;INDIRECT(ADDRESS(34,6))</f>
        <v>2:13</v>
      </c>
      <c r="J6" s="17" t="str">
        <f ca="1">INDIRECT(ADDRESS(18,6))&amp;":"&amp;INDIRECT(ADDRESS(18,7))</f>
        <v>13:10</v>
      </c>
      <c r="K6" s="83">
        <f ca="1">IF(COUNT(F7:J7)=0,"",COUNTIF(F7:J7,"&gt;0")+0.5*COUNTIF(F7:J7,0))</f>
        <v>2</v>
      </c>
      <c r="L6" s="12"/>
      <c r="M6" s="94">
        <v>4</v>
      </c>
    </row>
    <row r="7" spans="2:13" ht="24" customHeight="1" x14ac:dyDescent="0.25">
      <c r="B7" s="76"/>
      <c r="C7" s="80"/>
      <c r="D7" s="81"/>
      <c r="E7" s="82"/>
      <c r="F7" s="18">
        <f ca="1">IF(LEN(INDIRECT(ADDRESS(ROW()-1, COLUMN())))=1,"",INDIRECT(ADDRESS(23,7))-INDIRECT(ADDRESS(23,6)))</f>
        <v>-2</v>
      </c>
      <c r="G7" s="19" t="s">
        <v>4</v>
      </c>
      <c r="H7" s="12">
        <f ca="1">IF(LEN(INDIRECT(ADDRESS(ROW()-1, COLUMN())))=1,"",INDIRECT(ADDRESS(31,6))-INDIRECT(ADDRESS(31,7)))</f>
        <v>9</v>
      </c>
      <c r="I7" s="12">
        <f ca="1">IF(LEN(INDIRECT(ADDRESS(ROW()-1, COLUMN())))=1,"",INDIRECT(ADDRESS(34,7))-INDIRECT(ADDRESS(34,6)))</f>
        <v>-11</v>
      </c>
      <c r="J7" s="13">
        <f ca="1">IF(LEN(INDIRECT(ADDRESS(ROW()-1, COLUMN())))=1,"",INDIRECT(ADDRESS(18,6))-INDIRECT(ADDRESS(18,7)))</f>
        <v>3</v>
      </c>
      <c r="K7" s="83"/>
      <c r="L7" s="12">
        <f ca="1">IF(COUNT(F7:J7)=0,"",SUM(F7:J7))</f>
        <v>-1</v>
      </c>
      <c r="M7" s="94"/>
    </row>
    <row r="8" spans="2:13" ht="24" customHeight="1" x14ac:dyDescent="0.25">
      <c r="B8" s="87">
        <v>3</v>
      </c>
      <c r="C8" s="110" t="s">
        <v>148</v>
      </c>
      <c r="D8" s="111"/>
      <c r="E8" s="112"/>
      <c r="F8" s="14" t="str">
        <f ca="1">INDIRECT(ADDRESS(26,6))&amp;":"&amp;INDIRECT(ADDRESS(26,7))</f>
        <v>12:9</v>
      </c>
      <c r="G8" s="16" t="str">
        <f ca="1">INDIRECT(ADDRESS(31,7))&amp;":"&amp;INDIRECT(ADDRESS(31,6))</f>
        <v>4:13</v>
      </c>
      <c r="H8" s="15" t="s">
        <v>4</v>
      </c>
      <c r="I8" s="16" t="str">
        <f ca="1">INDIRECT(ADDRESS(19,6))&amp;":"&amp;INDIRECT(ADDRESS(19,7))</f>
        <v>5:4</v>
      </c>
      <c r="J8" s="17" t="str">
        <f ca="1">INDIRECT(ADDRESS(22,7))&amp;":"&amp;INDIRECT(ADDRESS(22,6))</f>
        <v>13:1</v>
      </c>
      <c r="K8" s="83">
        <f ca="1">IF(COUNT(F9:J9)=0,"",COUNTIF(F9:J9,"&gt;0")+0.5*COUNTIF(F9:J9,0))</f>
        <v>3</v>
      </c>
      <c r="L8" s="12"/>
      <c r="M8" s="94">
        <v>1</v>
      </c>
    </row>
    <row r="9" spans="2:13" ht="24" customHeight="1" x14ac:dyDescent="0.25">
      <c r="B9" s="76"/>
      <c r="C9" s="110"/>
      <c r="D9" s="111"/>
      <c r="E9" s="112"/>
      <c r="F9" s="18">
        <f ca="1">IF(LEN(INDIRECT(ADDRESS(ROW()-1, COLUMN())))=1,"",INDIRECT(ADDRESS(26,6))-INDIRECT(ADDRESS(26,7)))</f>
        <v>3</v>
      </c>
      <c r="G9" s="12">
        <f ca="1">IF(LEN(INDIRECT(ADDRESS(ROW()-1, COLUMN())))=1,"",INDIRECT(ADDRESS(31,7))-INDIRECT(ADDRESS(31,6)))</f>
        <v>-9</v>
      </c>
      <c r="H9" s="19" t="s">
        <v>4</v>
      </c>
      <c r="I9" s="12">
        <f ca="1">IF(LEN(INDIRECT(ADDRESS(ROW()-1, COLUMN())))=1,"",INDIRECT(ADDRESS(19,6))-INDIRECT(ADDRESS(19,7)))</f>
        <v>1</v>
      </c>
      <c r="J9" s="13">
        <f ca="1">IF(LEN(INDIRECT(ADDRESS(ROW()-1, COLUMN())))=1,"",INDIRECT(ADDRESS(22,7))-INDIRECT(ADDRESS(22,6)))</f>
        <v>12</v>
      </c>
      <c r="K9" s="83"/>
      <c r="L9" s="12">
        <f ca="1">IF(COUNT(F9:J9)=0,"",SUM(F9:J9))</f>
        <v>7</v>
      </c>
      <c r="M9" s="94"/>
    </row>
    <row r="10" spans="2:13" ht="24" customHeight="1" x14ac:dyDescent="0.25">
      <c r="B10" s="87">
        <v>4</v>
      </c>
      <c r="C10" s="116" t="s">
        <v>149</v>
      </c>
      <c r="D10" s="117"/>
      <c r="E10" s="118"/>
      <c r="F10" s="14" t="str">
        <f ca="1">INDIRECT(ADDRESS(30,7))&amp;":"&amp;INDIRECT(ADDRESS(30,6))</f>
        <v>9:12</v>
      </c>
      <c r="G10" s="16" t="str">
        <f ca="1">INDIRECT(ADDRESS(34,6))&amp;":"&amp;INDIRECT(ADDRESS(34,7))</f>
        <v>13:2</v>
      </c>
      <c r="H10" s="16" t="str">
        <f ca="1">INDIRECT(ADDRESS(19,7))&amp;":"&amp;INDIRECT(ADDRESS(19,6))</f>
        <v>4:5</v>
      </c>
      <c r="I10" s="15" t="s">
        <v>4</v>
      </c>
      <c r="J10" s="17" t="str">
        <f ca="1">INDIRECT(ADDRESS(27,6))&amp;":"&amp;INDIRECT(ADDRESS(27,7))</f>
        <v>13:6</v>
      </c>
      <c r="K10" s="83">
        <f ca="1">IF(COUNT(F11:J11)=0,"",COUNTIF(F11:J11,"&gt;0")+0.5*COUNTIF(F11:J11,0))</f>
        <v>2</v>
      </c>
      <c r="L10" s="12"/>
      <c r="M10" s="94">
        <v>3</v>
      </c>
    </row>
    <row r="11" spans="2:13" ht="24" customHeight="1" x14ac:dyDescent="0.25">
      <c r="B11" s="76"/>
      <c r="C11" s="116"/>
      <c r="D11" s="117"/>
      <c r="E11" s="118"/>
      <c r="F11" s="18">
        <f ca="1">IF(LEN(INDIRECT(ADDRESS(ROW()-1, COLUMN())))=1,"",INDIRECT(ADDRESS(30,7))-INDIRECT(ADDRESS(30,6)))</f>
        <v>-3</v>
      </c>
      <c r="G11" s="12">
        <f ca="1">IF(LEN(INDIRECT(ADDRESS(ROW()-1, COLUMN())))=1,"",INDIRECT(ADDRESS(34,6))-INDIRECT(ADDRESS(34,7)))</f>
        <v>11</v>
      </c>
      <c r="H11" s="12">
        <f ca="1">IF(LEN(INDIRECT(ADDRESS(ROW()-1, COLUMN())))=1,"",INDIRECT(ADDRESS(19,7))-INDIRECT(ADDRESS(19,6)))</f>
        <v>-1</v>
      </c>
      <c r="I11" s="19" t="s">
        <v>4</v>
      </c>
      <c r="J11" s="13">
        <f ca="1">IF(LEN(INDIRECT(ADDRESS(ROW()-1, COLUMN())))=1,"",INDIRECT(ADDRESS(27,6))-INDIRECT(ADDRESS(27,7)))</f>
        <v>7</v>
      </c>
      <c r="K11" s="83"/>
      <c r="L11" s="12">
        <f ca="1">IF(COUNT(F11:J11)=0,"",SUM(F11:J11))</f>
        <v>14</v>
      </c>
      <c r="M11" s="94"/>
    </row>
    <row r="12" spans="2:13" ht="24" customHeight="1" x14ac:dyDescent="0.25">
      <c r="B12" s="87">
        <v>5</v>
      </c>
      <c r="C12" s="80" t="s">
        <v>150</v>
      </c>
      <c r="D12" s="81"/>
      <c r="E12" s="82"/>
      <c r="F12" s="14" t="str">
        <f ca="1">INDIRECT(ADDRESS(35,6))&amp;":"&amp;INDIRECT(ADDRESS(35,7))</f>
        <v>0:13</v>
      </c>
      <c r="G12" s="16" t="str">
        <f ca="1">INDIRECT(ADDRESS(18,7))&amp;":"&amp;INDIRECT(ADDRESS(18,6))</f>
        <v>10:13</v>
      </c>
      <c r="H12" s="16" t="str">
        <f ca="1">INDIRECT(ADDRESS(22,6))&amp;":"&amp;INDIRECT(ADDRESS(22,7))</f>
        <v>1:13</v>
      </c>
      <c r="I12" s="16" t="str">
        <f ca="1">INDIRECT(ADDRESS(27,7))&amp;":"&amp;INDIRECT(ADDRESS(27,6))</f>
        <v>6:13</v>
      </c>
      <c r="J12" s="20" t="s">
        <v>4</v>
      </c>
      <c r="K12" s="83">
        <f ca="1">IF(COUNT(F13:J13)=0,"",COUNTIF(F13:J13,"&gt;0")+0.5*COUNTIF(F13:J13,0))</f>
        <v>0</v>
      </c>
      <c r="L12" s="12"/>
      <c r="M12" s="94">
        <v>5</v>
      </c>
    </row>
    <row r="13" spans="2:13" ht="24" customHeight="1" thickBot="1" x14ac:dyDescent="0.3">
      <c r="B13" s="88"/>
      <c r="C13" s="89"/>
      <c r="D13" s="90"/>
      <c r="E13" s="91"/>
      <c r="F13" s="21">
        <f ca="1">IF(LEN(INDIRECT(ADDRESS(ROW()-1, COLUMN())))=1,"",INDIRECT(ADDRESS(35,6))-INDIRECT(ADDRESS(35,7)))</f>
        <v>-13</v>
      </c>
      <c r="G13" s="22">
        <f ca="1">IF(LEN(INDIRECT(ADDRESS(ROW()-1, COLUMN())))=1,"",INDIRECT(ADDRESS(18,7))-INDIRECT(ADDRESS(18,6)))</f>
        <v>-3</v>
      </c>
      <c r="H13" s="22">
        <f ca="1">IF(LEN(INDIRECT(ADDRESS(ROW()-1, COLUMN())))=1,"",INDIRECT(ADDRESS(22,6))-INDIRECT(ADDRESS(22,7)))</f>
        <v>-12</v>
      </c>
      <c r="I13" s="22">
        <f ca="1">IF(LEN(INDIRECT(ADDRESS(ROW()-1, COLUMN())))=1,"",INDIRECT(ADDRESS(27,7))-INDIRECT(ADDRESS(27,6)))</f>
        <v>-7</v>
      </c>
      <c r="J13" s="23" t="s">
        <v>4</v>
      </c>
      <c r="K13" s="92"/>
      <c r="L13" s="22">
        <f ca="1">IF(COUNT(F13:J13)=0,"",SUM(F13:J13))</f>
        <v>-35</v>
      </c>
      <c r="M13" s="9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5" customFormat="1" ht="30" customHeight="1" thickBot="1" x14ac:dyDescent="0.4">
      <c r="A17" s="24"/>
      <c r="B17" s="70" t="s">
        <v>5</v>
      </c>
      <c r="C17" s="70"/>
      <c r="D17" s="70"/>
      <c r="E17" s="70"/>
      <c r="F17" s="70"/>
      <c r="G17" s="70"/>
      <c r="H17" s="70"/>
      <c r="I17" s="70"/>
      <c r="J17" s="70"/>
      <c r="K17" s="70"/>
      <c r="M17" s="40"/>
    </row>
    <row r="18" spans="1:13" s="25" customFormat="1" ht="30" customHeight="1" thickBot="1" x14ac:dyDescent="0.4">
      <c r="A18" s="24"/>
      <c r="B18" s="26">
        <v>2</v>
      </c>
      <c r="C18" s="84" t="str">
        <f ca="1">IF(ISBLANK(INDIRECT(ADDRESS(B18*2+2,3))),"",INDIRECT(ADDRESS(B18*2+2,3)))</f>
        <v>Трушины</v>
      </c>
      <c r="D18" s="84"/>
      <c r="E18" s="85"/>
      <c r="F18" s="27">
        <v>13</v>
      </c>
      <c r="G18" s="28">
        <v>10</v>
      </c>
      <c r="H18" s="86" t="str">
        <f ca="1">IF(ISBLANK(INDIRECT(ADDRESS(K18*2+2,3))),"",INDIRECT(ADDRESS(K18*2+2,3)))</f>
        <v>Горбулинская, Буштрук</v>
      </c>
      <c r="I18" s="84"/>
      <c r="J18" s="84"/>
      <c r="K18" s="26">
        <v>5</v>
      </c>
      <c r="L18" s="29" t="s">
        <v>6</v>
      </c>
      <c r="M18" s="44">
        <v>7</v>
      </c>
    </row>
    <row r="19" spans="1:13" s="25" customFormat="1" ht="30" customHeight="1" thickBot="1" x14ac:dyDescent="0.4">
      <c r="A19" s="24"/>
      <c r="B19" s="26">
        <v>3</v>
      </c>
      <c r="C19" s="84" t="str">
        <f ca="1">IF(ISBLANK(INDIRECT(ADDRESS(B19*2+2,3))),"",INDIRECT(ADDRESS(B19*2+2,3)))</f>
        <v>Артюхина, Гулинин</v>
      </c>
      <c r="D19" s="84"/>
      <c r="E19" s="85"/>
      <c r="F19" s="27">
        <v>5</v>
      </c>
      <c r="G19" s="28">
        <v>4</v>
      </c>
      <c r="H19" s="86" t="str">
        <f ca="1">IF(ISBLANK(INDIRECT(ADDRESS(K19*2+2,3))),"",INDIRECT(ADDRESS(K19*2+2,3)))</f>
        <v>Чекмарева, Лямунов</v>
      </c>
      <c r="I19" s="84"/>
      <c r="J19" s="84"/>
      <c r="K19" s="26">
        <v>4</v>
      </c>
      <c r="L19" s="29" t="s">
        <v>6</v>
      </c>
      <c r="M19" s="44">
        <v>8</v>
      </c>
    </row>
    <row r="20" spans="1:13" s="25" customFormat="1" ht="30" customHeight="1" x14ac:dyDescent="0.35">
      <c r="A20" s="24"/>
      <c r="M20" s="30"/>
    </row>
    <row r="21" spans="1:13" s="25" customFormat="1" ht="30" customHeight="1" thickBot="1" x14ac:dyDescent="0.4">
      <c r="A21" s="24"/>
      <c r="B21" s="70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M21" s="30"/>
    </row>
    <row r="22" spans="1:13" s="25" customFormat="1" ht="30" customHeight="1" thickBot="1" x14ac:dyDescent="0.4">
      <c r="A22" s="24"/>
      <c r="B22" s="26">
        <v>5</v>
      </c>
      <c r="C22" s="84" t="str">
        <f ca="1">IF(ISBLANK(INDIRECT(ADDRESS(B22*2+2,3))),"",INDIRECT(ADDRESS(B22*2+2,3)))</f>
        <v>Горбулинская, Буштрук</v>
      </c>
      <c r="D22" s="84"/>
      <c r="E22" s="85"/>
      <c r="F22" s="27">
        <v>1</v>
      </c>
      <c r="G22" s="28">
        <v>13</v>
      </c>
      <c r="H22" s="86" t="str">
        <f ca="1">IF(ISBLANK(INDIRECT(ADDRESS(K22*2+2,3))),"",INDIRECT(ADDRESS(K22*2+2,3)))</f>
        <v>Артюхина, Гулинин</v>
      </c>
      <c r="I22" s="84"/>
      <c r="J22" s="84"/>
      <c r="K22" s="26">
        <v>3</v>
      </c>
      <c r="L22" s="29" t="s">
        <v>6</v>
      </c>
      <c r="M22" s="44">
        <v>1</v>
      </c>
    </row>
    <row r="23" spans="1:13" s="25" customFormat="1" ht="30" customHeight="1" thickBot="1" x14ac:dyDescent="0.4">
      <c r="A23" s="24"/>
      <c r="B23" s="26">
        <v>1</v>
      </c>
      <c r="C23" s="84" t="str">
        <f ca="1">IF(ISBLANK(INDIRECT(ADDRESS(B23*2+2,3))),"",INDIRECT(ADDRESS(B23*2+2,3)))</f>
        <v>Курбанова, Михеенко</v>
      </c>
      <c r="D23" s="84"/>
      <c r="E23" s="85"/>
      <c r="F23" s="27">
        <v>13</v>
      </c>
      <c r="G23" s="28">
        <v>11</v>
      </c>
      <c r="H23" s="86" t="str">
        <f ca="1">IF(ISBLANK(INDIRECT(ADDRESS(K23*2+2,3))),"",INDIRECT(ADDRESS(K23*2+2,3)))</f>
        <v>Трушины</v>
      </c>
      <c r="I23" s="84"/>
      <c r="J23" s="84"/>
      <c r="K23" s="26">
        <v>2</v>
      </c>
      <c r="L23" s="29" t="s">
        <v>6</v>
      </c>
      <c r="M23" s="44">
        <v>2</v>
      </c>
    </row>
    <row r="24" spans="1:13" s="25" customFormat="1" ht="30" customHeight="1" x14ac:dyDescent="0.35">
      <c r="A24" s="24"/>
      <c r="M24" s="30"/>
    </row>
    <row r="25" spans="1:13" s="25" customFormat="1" ht="30" customHeight="1" thickBot="1" x14ac:dyDescent="0.4">
      <c r="A25" s="24"/>
      <c r="B25" s="70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M25" s="30"/>
    </row>
    <row r="26" spans="1:13" s="25" customFormat="1" ht="30" customHeight="1" thickBot="1" x14ac:dyDescent="0.4">
      <c r="A26" s="24"/>
      <c r="B26" s="26">
        <v>3</v>
      </c>
      <c r="C26" s="84" t="str">
        <f ca="1">IF(ISBLANK(INDIRECT(ADDRESS(B26*2+2,3))),"",INDIRECT(ADDRESS(B26*2+2,3)))</f>
        <v>Артюхина, Гулинин</v>
      </c>
      <c r="D26" s="84"/>
      <c r="E26" s="85"/>
      <c r="F26" s="27">
        <v>12</v>
      </c>
      <c r="G26" s="28">
        <v>9</v>
      </c>
      <c r="H26" s="86" t="str">
        <f ca="1">IF(ISBLANK(INDIRECT(ADDRESS(K26*2+2,3))),"",INDIRECT(ADDRESS(K26*2+2,3)))</f>
        <v>Курбанова, Михеенко</v>
      </c>
      <c r="I26" s="84"/>
      <c r="J26" s="84"/>
      <c r="K26" s="26">
        <v>1</v>
      </c>
      <c r="L26" s="29" t="s">
        <v>6</v>
      </c>
      <c r="M26" s="44">
        <v>5</v>
      </c>
    </row>
    <row r="27" spans="1:13" s="25" customFormat="1" ht="30" customHeight="1" thickBot="1" x14ac:dyDescent="0.4">
      <c r="A27" s="24"/>
      <c r="B27" s="26">
        <v>4</v>
      </c>
      <c r="C27" s="84" t="str">
        <f ca="1">IF(ISBLANK(INDIRECT(ADDRESS(B27*2+2,3))),"",INDIRECT(ADDRESS(B27*2+2,3)))</f>
        <v>Чекмарева, Лямунов</v>
      </c>
      <c r="D27" s="84"/>
      <c r="E27" s="85"/>
      <c r="F27" s="27">
        <v>13</v>
      </c>
      <c r="G27" s="28">
        <v>6</v>
      </c>
      <c r="H27" s="86" t="str">
        <f ca="1">IF(ISBLANK(INDIRECT(ADDRESS(K27*2+2,3))),"",INDIRECT(ADDRESS(K27*2+2,3)))</f>
        <v>Горбулинская, Буштрук</v>
      </c>
      <c r="I27" s="84"/>
      <c r="J27" s="84"/>
      <c r="K27" s="26">
        <v>5</v>
      </c>
      <c r="L27" s="29" t="s">
        <v>6</v>
      </c>
      <c r="M27" s="44">
        <v>6</v>
      </c>
    </row>
    <row r="28" spans="1:13" s="25" customFormat="1" ht="30" customHeight="1" x14ac:dyDescent="0.35">
      <c r="A28" s="24"/>
      <c r="M28" s="30"/>
    </row>
    <row r="29" spans="1:13" s="25" customFormat="1" ht="30" customHeight="1" thickBot="1" x14ac:dyDescent="0.4">
      <c r="A29" s="24"/>
      <c r="B29" s="70" t="s">
        <v>10</v>
      </c>
      <c r="C29" s="70"/>
      <c r="D29" s="70"/>
      <c r="E29" s="70"/>
      <c r="F29" s="70"/>
      <c r="G29" s="70"/>
      <c r="H29" s="70"/>
      <c r="I29" s="70"/>
      <c r="J29" s="70"/>
      <c r="K29" s="70"/>
      <c r="M29" s="30"/>
    </row>
    <row r="30" spans="1:13" s="25" customFormat="1" ht="30" customHeight="1" thickBot="1" x14ac:dyDescent="0.4">
      <c r="A30" s="24"/>
      <c r="B30" s="26">
        <v>1</v>
      </c>
      <c r="C30" s="84" t="str">
        <f ca="1">IF(ISBLANK(INDIRECT(ADDRESS(B30*2+2,3))),"",INDIRECT(ADDRESS(B30*2+2,3)))</f>
        <v>Курбанова, Михеенко</v>
      </c>
      <c r="D30" s="84"/>
      <c r="E30" s="85"/>
      <c r="F30" s="27">
        <v>12</v>
      </c>
      <c r="G30" s="28">
        <v>9</v>
      </c>
      <c r="H30" s="86" t="str">
        <f ca="1">IF(ISBLANK(INDIRECT(ADDRESS(K30*2+2,3))),"",INDIRECT(ADDRESS(K30*2+2,3)))</f>
        <v>Чекмарева, Лямунов</v>
      </c>
      <c r="I30" s="84"/>
      <c r="J30" s="84"/>
      <c r="K30" s="26">
        <v>4</v>
      </c>
      <c r="L30" s="29" t="s">
        <v>6</v>
      </c>
      <c r="M30" s="44">
        <v>9</v>
      </c>
    </row>
    <row r="31" spans="1:13" s="25" customFormat="1" ht="30" customHeight="1" thickBot="1" x14ac:dyDescent="0.4">
      <c r="A31" s="24"/>
      <c r="B31" s="26">
        <v>2</v>
      </c>
      <c r="C31" s="84" t="str">
        <f ca="1">IF(ISBLANK(INDIRECT(ADDRESS(B31*2+2,3))),"",INDIRECT(ADDRESS(B31*2+2,3)))</f>
        <v>Трушины</v>
      </c>
      <c r="D31" s="84"/>
      <c r="E31" s="85"/>
      <c r="F31" s="27">
        <v>13</v>
      </c>
      <c r="G31" s="28">
        <v>4</v>
      </c>
      <c r="H31" s="86" t="str">
        <f ca="1">IF(ISBLANK(INDIRECT(ADDRESS(K31*2+2,3))),"",INDIRECT(ADDRESS(K31*2+2,3)))</f>
        <v>Артюхина, Гулинин</v>
      </c>
      <c r="I31" s="84"/>
      <c r="J31" s="84"/>
      <c r="K31" s="26">
        <v>3</v>
      </c>
      <c r="L31" s="29" t="s">
        <v>6</v>
      </c>
      <c r="M31" s="44">
        <v>10</v>
      </c>
    </row>
    <row r="32" spans="1:13" s="25" customFormat="1" ht="30" customHeight="1" x14ac:dyDescent="0.35">
      <c r="A32" s="24"/>
      <c r="M32" s="30"/>
    </row>
    <row r="33" spans="1:13" s="25" customFormat="1" ht="30" customHeight="1" thickBot="1" x14ac:dyDescent="0.4">
      <c r="A33" s="24"/>
      <c r="B33" s="70" t="s">
        <v>11</v>
      </c>
      <c r="C33" s="70"/>
      <c r="D33" s="70"/>
      <c r="E33" s="70"/>
      <c r="F33" s="70"/>
      <c r="G33" s="70"/>
      <c r="H33" s="70"/>
      <c r="I33" s="70"/>
      <c r="J33" s="70"/>
      <c r="K33" s="70"/>
      <c r="M33" s="30"/>
    </row>
    <row r="34" spans="1:13" s="25" customFormat="1" ht="30" customHeight="1" thickBot="1" x14ac:dyDescent="0.4">
      <c r="A34" s="24"/>
      <c r="B34" s="26">
        <v>4</v>
      </c>
      <c r="C34" s="84" t="str">
        <f ca="1">IF(ISBLANK(INDIRECT(ADDRESS(B34*2+2,3))),"",INDIRECT(ADDRESS(B34*2+2,3)))</f>
        <v>Чекмарева, Лямунов</v>
      </c>
      <c r="D34" s="84"/>
      <c r="E34" s="85"/>
      <c r="F34" s="27">
        <v>13</v>
      </c>
      <c r="G34" s="28">
        <v>2</v>
      </c>
      <c r="H34" s="86" t="str">
        <f ca="1">IF(ISBLANK(INDIRECT(ADDRESS(K34*2+2,3))),"",INDIRECT(ADDRESS(K34*2+2,3)))</f>
        <v>Трушины</v>
      </c>
      <c r="I34" s="84"/>
      <c r="J34" s="84"/>
      <c r="K34" s="26">
        <v>2</v>
      </c>
      <c r="L34" s="29" t="s">
        <v>6</v>
      </c>
      <c r="M34" s="44">
        <v>3</v>
      </c>
    </row>
    <row r="35" spans="1:13" s="25" customFormat="1" ht="30" customHeight="1" thickBot="1" x14ac:dyDescent="0.4">
      <c r="A35" s="24"/>
      <c r="B35" s="26">
        <v>5</v>
      </c>
      <c r="C35" s="84" t="str">
        <f ca="1">IF(ISBLANK(INDIRECT(ADDRESS(B35*2+2,3))),"",INDIRECT(ADDRESS(B35*2+2,3)))</f>
        <v>Горбулинская, Буштрук</v>
      </c>
      <c r="D35" s="84"/>
      <c r="E35" s="85"/>
      <c r="F35" s="27">
        <v>0</v>
      </c>
      <c r="G35" s="28">
        <v>13</v>
      </c>
      <c r="H35" s="86" t="str">
        <f ca="1">IF(ISBLANK(INDIRECT(ADDRESS(K35*2+2,3))),"",INDIRECT(ADDRESS(K35*2+2,3)))</f>
        <v>Курбанова, Михеенко</v>
      </c>
      <c r="I35" s="84"/>
      <c r="J35" s="84"/>
      <c r="K35" s="26">
        <v>1</v>
      </c>
      <c r="L35" s="29" t="s">
        <v>6</v>
      </c>
      <c r="M35" s="44">
        <v>4</v>
      </c>
    </row>
  </sheetData>
  <mergeCells count="47">
    <mergeCell ref="B1:K1"/>
    <mergeCell ref="C3:E3"/>
    <mergeCell ref="B4:B5"/>
    <mergeCell ref="C4:E5"/>
    <mergeCell ref="M10:M11"/>
    <mergeCell ref="B6:B7"/>
    <mergeCell ref="C6:E7"/>
    <mergeCell ref="B8:B9"/>
    <mergeCell ref="C8:E9"/>
    <mergeCell ref="B10:B11"/>
    <mergeCell ref="C10:E11"/>
    <mergeCell ref="B12:B13"/>
    <mergeCell ref="C12:E13"/>
    <mergeCell ref="K10:K11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K4:K5"/>
    <mergeCell ref="M4:M5"/>
    <mergeCell ref="K6:K7"/>
    <mergeCell ref="M6:M7"/>
    <mergeCell ref="K8:K9"/>
    <mergeCell ref="M8:M9"/>
    <mergeCell ref="M12:M13"/>
    <mergeCell ref="B17:K17"/>
    <mergeCell ref="C18:E18"/>
    <mergeCell ref="H18:J18"/>
    <mergeCell ref="C19:E19"/>
    <mergeCell ref="H19:J19"/>
    <mergeCell ref="B25:K25"/>
    <mergeCell ref="B33:K33"/>
    <mergeCell ref="C34:E34"/>
    <mergeCell ref="H34:J34"/>
    <mergeCell ref="K12:K13"/>
    <mergeCell ref="C31:E31"/>
    <mergeCell ref="H31:J31"/>
    <mergeCell ref="C22:E22"/>
    <mergeCell ref="H22:J22"/>
    <mergeCell ref="B21:K21"/>
    <mergeCell ref="C23:E23"/>
    <mergeCell ref="H23:J23"/>
  </mergeCells>
  <pageMargins left="0.25" right="0.25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workbookViewId="0">
      <selection activeCell="L33" sqref="L33"/>
    </sheetView>
  </sheetViews>
  <sheetFormatPr defaultRowHeight="15" x14ac:dyDescent="0.25"/>
  <cols>
    <col min="1" max="1" width="5.5703125" style="46" customWidth="1"/>
    <col min="2" max="17" width="9.140625" style="32" customWidth="1"/>
    <col min="18" max="16384" width="9.140625" style="32"/>
  </cols>
  <sheetData>
    <row r="1" spans="1:16" ht="45" customHeight="1" x14ac:dyDescent="0.25">
      <c r="B1" s="109" t="s">
        <v>9</v>
      </c>
      <c r="C1" s="109"/>
      <c r="D1" s="109"/>
      <c r="E1" s="109"/>
      <c r="F1" s="109"/>
      <c r="G1" s="109"/>
      <c r="H1" s="109"/>
      <c r="I1" s="109"/>
      <c r="J1" s="109"/>
      <c r="K1" s="109"/>
      <c r="P1" s="33"/>
    </row>
    <row r="4" spans="1:16" ht="15" customHeight="1" x14ac:dyDescent="0.25">
      <c r="A4" s="46" t="s">
        <v>97</v>
      </c>
      <c r="B4" s="10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Савченко, Колесников</v>
      </c>
      <c r="C4" s="107"/>
      <c r="D4" s="34">
        <v>11</v>
      </c>
      <c r="E4" s="35"/>
    </row>
    <row r="5" spans="1:16" ht="15" customHeight="1" x14ac:dyDescent="0.25">
      <c r="A5" s="46">
        <v>1</v>
      </c>
      <c r="E5" s="36"/>
    </row>
    <row r="6" spans="1:16" ht="15" customHeight="1" x14ac:dyDescent="0.25">
      <c r="B6" s="37" t="s">
        <v>6</v>
      </c>
      <c r="C6" s="50">
        <v>1</v>
      </c>
      <c r="E6" s="38"/>
      <c r="F6" s="105" t="str">
        <f ca="1">IF(ISBLANK(D4),"",IF(D4&gt;D8,B4,B8))</f>
        <v>Чекмарева, Лямунов</v>
      </c>
      <c r="G6" s="107"/>
      <c r="H6" s="34">
        <v>4</v>
      </c>
      <c r="I6" s="35"/>
    </row>
    <row r="7" spans="1:16" ht="15" customHeight="1" x14ac:dyDescent="0.25">
      <c r="E7" s="38"/>
      <c r="I7" s="36"/>
    </row>
    <row r="8" spans="1:16" ht="15" customHeight="1" x14ac:dyDescent="0.25">
      <c r="A8" s="46" t="s">
        <v>103</v>
      </c>
      <c r="B8" s="10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Чекмарева, Лямунов</v>
      </c>
      <c r="C8" s="107"/>
      <c r="D8" s="34">
        <v>12</v>
      </c>
      <c r="E8" s="39"/>
      <c r="I8" s="38"/>
    </row>
    <row r="9" spans="1:16" ht="15" customHeight="1" x14ac:dyDescent="0.25">
      <c r="A9" s="46">
        <v>3</v>
      </c>
      <c r="I9" s="38"/>
    </row>
    <row r="10" spans="1:16" ht="15" customHeight="1" x14ac:dyDescent="0.25">
      <c r="G10" s="37" t="s">
        <v>6</v>
      </c>
      <c r="H10" s="50">
        <v>5</v>
      </c>
      <c r="I10" s="38"/>
      <c r="J10" s="105" t="str">
        <f ca="1">IF(ISBLANK(H6),"",IF(H6&gt;H14,F6,F14))</f>
        <v>Хафизова, Хафидо</v>
      </c>
      <c r="K10" s="106"/>
      <c r="L10" s="34">
        <v>13</v>
      </c>
      <c r="M10" s="35"/>
    </row>
    <row r="11" spans="1:16" ht="15" customHeight="1" x14ac:dyDescent="0.25">
      <c r="I11" s="38"/>
      <c r="M11" s="36"/>
    </row>
    <row r="12" spans="1:16" ht="15" customHeight="1" x14ac:dyDescent="0.25">
      <c r="A12" s="46" t="s">
        <v>98</v>
      </c>
      <c r="B12" s="10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Хафизова, Хафидо</v>
      </c>
      <c r="C12" s="107"/>
      <c r="D12" s="34">
        <v>13</v>
      </c>
      <c r="E12" s="35"/>
      <c r="I12" s="38"/>
      <c r="M12" s="38"/>
    </row>
    <row r="13" spans="1:16" ht="15" customHeight="1" x14ac:dyDescent="0.25">
      <c r="A13" s="46">
        <v>1</v>
      </c>
      <c r="E13" s="36"/>
      <c r="I13" s="38"/>
      <c r="M13" s="38"/>
    </row>
    <row r="14" spans="1:16" ht="15" customHeight="1" x14ac:dyDescent="0.25">
      <c r="B14" s="37" t="s">
        <v>6</v>
      </c>
      <c r="C14" s="50">
        <v>2</v>
      </c>
      <c r="E14" s="38"/>
      <c r="F14" s="105" t="str">
        <f ca="1">IF(ISBLANK(D12),"",IF(D12&gt;D16,B12,B16))</f>
        <v>Хафизова, Хафидо</v>
      </c>
      <c r="G14" s="107"/>
      <c r="H14" s="34">
        <v>13</v>
      </c>
      <c r="I14" s="39"/>
      <c r="M14" s="38"/>
    </row>
    <row r="15" spans="1:16" ht="15" customHeight="1" x14ac:dyDescent="0.25">
      <c r="E15" s="38"/>
      <c r="M15" s="38"/>
    </row>
    <row r="16" spans="1:16" ht="15" customHeight="1" x14ac:dyDescent="0.25">
      <c r="A16" s="46" t="s">
        <v>102</v>
      </c>
      <c r="B16" s="106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Кузнецова Л., Педченко</v>
      </c>
      <c r="C16" s="107"/>
      <c r="D16" s="34">
        <v>11</v>
      </c>
      <c r="E16" s="39"/>
      <c r="M16" s="38"/>
    </row>
    <row r="17" spans="1:17" ht="15" customHeight="1" x14ac:dyDescent="0.25">
      <c r="A17" s="46">
        <v>2</v>
      </c>
      <c r="M17" s="38"/>
    </row>
    <row r="18" spans="1:17" ht="15" customHeight="1" x14ac:dyDescent="0.25">
      <c r="K18" s="37" t="s">
        <v>6</v>
      </c>
      <c r="L18" s="50" t="s">
        <v>101</v>
      </c>
      <c r="M18" s="38"/>
      <c r="N18" s="105" t="str">
        <f ca="1">IF(ISBLANK(L10),"",IF(L10&gt;L26,J10,J26))</f>
        <v>Хафизова, Хафидо</v>
      </c>
      <c r="O18" s="106"/>
      <c r="P18" s="34">
        <v>12</v>
      </c>
      <c r="Q18" s="35"/>
    </row>
    <row r="19" spans="1:17" ht="15" customHeight="1" x14ac:dyDescent="0.25">
      <c r="M19" s="38"/>
      <c r="P19" s="51"/>
      <c r="Q19" s="36"/>
    </row>
    <row r="20" spans="1:17" ht="15" customHeight="1" x14ac:dyDescent="0.25">
      <c r="A20" s="46" t="s">
        <v>105</v>
      </c>
      <c r="B20" s="106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Дубовицкие</v>
      </c>
      <c r="C20" s="107"/>
      <c r="D20" s="34">
        <v>7</v>
      </c>
      <c r="E20" s="35"/>
      <c r="M20" s="38"/>
      <c r="P20" s="52"/>
      <c r="Q20" s="38"/>
    </row>
    <row r="21" spans="1:17" ht="15" customHeight="1" x14ac:dyDescent="0.25">
      <c r="A21" s="46">
        <v>1</v>
      </c>
      <c r="E21" s="36"/>
      <c r="M21" s="38"/>
      <c r="P21" s="52"/>
      <c r="Q21" s="38"/>
    </row>
    <row r="22" spans="1:17" ht="15" customHeight="1" x14ac:dyDescent="0.25">
      <c r="B22" s="37" t="s">
        <v>6</v>
      </c>
      <c r="C22" s="50">
        <v>3</v>
      </c>
      <c r="E22" s="38"/>
      <c r="F22" s="105" t="str">
        <f ca="1">IF(ISBLANK(D20),"",IF(D20&gt;D24,B20,B24))</f>
        <v>Скляр, Лютиков</v>
      </c>
      <c r="G22" s="107"/>
      <c r="H22" s="34">
        <v>7</v>
      </c>
      <c r="I22" s="35"/>
      <c r="M22" s="38"/>
      <c r="P22" s="52"/>
      <c r="Q22" s="38"/>
    </row>
    <row r="23" spans="1:17" ht="15" customHeight="1" x14ac:dyDescent="0.25">
      <c r="C23" s="33"/>
      <c r="E23" s="38"/>
      <c r="I23" s="36"/>
      <c r="M23" s="38"/>
      <c r="P23" s="52"/>
      <c r="Q23" s="38"/>
    </row>
    <row r="24" spans="1:17" ht="15" customHeight="1" x14ac:dyDescent="0.25">
      <c r="A24" s="46" t="s">
        <v>97</v>
      </c>
      <c r="B24" s="106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Скляр, Лютиков</v>
      </c>
      <c r="C24" s="107"/>
      <c r="D24" s="34">
        <v>11</v>
      </c>
      <c r="E24" s="39"/>
      <c r="I24" s="38"/>
      <c r="M24" s="38"/>
      <c r="P24" s="52"/>
      <c r="Q24" s="38"/>
    </row>
    <row r="25" spans="1:17" ht="15" customHeight="1" x14ac:dyDescent="0.25">
      <c r="A25" s="46">
        <v>3</v>
      </c>
      <c r="C25" s="33"/>
      <c r="I25" s="38"/>
      <c r="M25" s="38"/>
      <c r="P25" s="52"/>
      <c r="Q25" s="38"/>
    </row>
    <row r="26" spans="1:17" ht="15" customHeight="1" x14ac:dyDescent="0.25">
      <c r="C26" s="33"/>
      <c r="G26" s="37" t="s">
        <v>6</v>
      </c>
      <c r="H26" s="50">
        <v>6</v>
      </c>
      <c r="I26" s="38"/>
      <c r="J26" s="105" t="str">
        <f ca="1">IF(ISBLANK(H22),"",IF(H22&gt;H30,F22,F30))</f>
        <v>Коппа, Жака</v>
      </c>
      <c r="K26" s="107"/>
      <c r="L26" s="34">
        <v>2</v>
      </c>
      <c r="M26" s="39"/>
      <c r="P26" s="52"/>
      <c r="Q26" s="38"/>
    </row>
    <row r="27" spans="1:17" ht="15" customHeight="1" x14ac:dyDescent="0.25">
      <c r="C27" s="33"/>
      <c r="I27" s="38"/>
      <c r="P27" s="52"/>
      <c r="Q27" s="38"/>
    </row>
    <row r="28" spans="1:17" ht="15" customHeight="1" x14ac:dyDescent="0.25">
      <c r="A28" s="46" t="s">
        <v>100</v>
      </c>
      <c r="B28" s="106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Коппа, Жака</v>
      </c>
      <c r="C28" s="107"/>
      <c r="D28" s="34">
        <v>13</v>
      </c>
      <c r="E28" s="35"/>
      <c r="I28" s="38"/>
      <c r="P28" s="52"/>
      <c r="Q28" s="38"/>
    </row>
    <row r="29" spans="1:17" ht="15" customHeight="1" x14ac:dyDescent="0.25">
      <c r="A29" s="46">
        <v>1</v>
      </c>
      <c r="C29" s="33"/>
      <c r="E29" s="36"/>
      <c r="I29" s="38"/>
      <c r="P29" s="52"/>
      <c r="Q29" s="38"/>
    </row>
    <row r="30" spans="1:17" ht="15" customHeight="1" x14ac:dyDescent="0.25">
      <c r="B30" s="37" t="s">
        <v>6</v>
      </c>
      <c r="C30" s="50">
        <v>4</v>
      </c>
      <c r="E30" s="38"/>
      <c r="F30" s="105" t="str">
        <f ca="1">IF(ISBLANK(D28),"",IF(D28&gt;D32,B28,B32))</f>
        <v>Коппа, Жака</v>
      </c>
      <c r="G30" s="107"/>
      <c r="H30" s="34">
        <v>13</v>
      </c>
      <c r="I30" s="39"/>
      <c r="P30" s="52"/>
      <c r="Q30" s="38"/>
    </row>
    <row r="31" spans="1:17" ht="15" customHeight="1" x14ac:dyDescent="0.25">
      <c r="E31" s="38"/>
      <c r="P31" s="52"/>
      <c r="Q31" s="38"/>
    </row>
    <row r="32" spans="1:17" ht="15" customHeight="1" x14ac:dyDescent="0.25">
      <c r="A32" s="46" t="s">
        <v>99</v>
      </c>
      <c r="B32" s="106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Бублик, Гаджиев</v>
      </c>
      <c r="C32" s="107"/>
      <c r="D32" s="34">
        <v>3</v>
      </c>
      <c r="E32" s="39"/>
      <c r="P32" s="52"/>
      <c r="Q32" s="38"/>
    </row>
    <row r="33" spans="1:19" ht="15" customHeight="1" x14ac:dyDescent="0.25">
      <c r="A33" s="46">
        <v>2</v>
      </c>
      <c r="P33" s="52"/>
      <c r="Q33" s="38"/>
    </row>
    <row r="34" spans="1:19" ht="15" customHeight="1" x14ac:dyDescent="0.25">
      <c r="O34" s="33" t="s">
        <v>6</v>
      </c>
      <c r="P34" s="50" t="s">
        <v>101</v>
      </c>
      <c r="Q34" s="38"/>
      <c r="R34" s="128" t="str">
        <f ca="1">IF(ISBLANK(P18),"",IF(P18&gt;P50,N18,N50))</f>
        <v>Курбанова, Михеенко</v>
      </c>
      <c r="S34" s="129"/>
    </row>
    <row r="35" spans="1:19" ht="15" customHeight="1" x14ac:dyDescent="0.25">
      <c r="P35" s="52"/>
      <c r="Q35" s="38"/>
    </row>
    <row r="36" spans="1:19" ht="15" customHeight="1" x14ac:dyDescent="0.25">
      <c r="A36" s="46" t="s">
        <v>102</v>
      </c>
      <c r="B36" s="106" t="str">
        <f ca="1">IF(LEFT(A37,1)="-",IF(ISBLANK(INDIRECT(ADDRESS(2^MID(A37,2,1)+2+(MID(A37,3,2)-1)*2^(MID(A37,2,1)+2),MID(A37,2,1)*4,,,A36))),"",IF(INDIRECT(ADDRESS(2^MID(A37,2,1)+2+(MID(A37,3,2)-1)*2^(MID(A37,2,1)+2),MID(A37,2,1)*4,,,A36))&gt;INDIRECT(ADDRESS(2^(1+MID(A37,2,1))+2^MID(A37,2,1)+2+(MID(A37,3,2)-1)*2^(MID(A37,2,1)+2),MID(A37,2,1)*4,,,A36)),INDIRECT(ADDRESS(2^(1+MID(A37,2,1))+2^MID(A37,2,1)+2+(MID(A37,3,2)-1)*2^(MID(A37,2,1)+2),MID(A37,2,1)*4-2,,,A36)),INDIRECT(ADDRESS(2^MID(A37,2,1)+2+(MID(A37,3,2)-1)*2^(MID(A37,2,1)+2),MID(A37,2,1)*4-2,,,A36)))),IF(LEFT(A36,1)="X",IFERROR(INDIRECT(ADDRESS(MATCH(A37,OFFSET(INDIRECT(ADDRESS(1,3,,,A36)),0,0,200,1),0),2,,,A36)),""),IFERROR(INDIRECT(ADDRESS(MATCH(A37,OFFSET(INDIRECT(ADDRESS(3,2,,,A36)),1,6+MAX(OFFSET(INDIRECT(ADDRESS(3,2,,,A36)),0,0,1,20)),2*MAX(OFFSET(INDIRECT(ADDRESS(3,2,,,A36)),0,0,1,20)),1),0)+3,3,,,A36)),"")))</f>
        <v>Петрушко</v>
      </c>
      <c r="C36" s="107"/>
      <c r="D36" s="34">
        <v>7</v>
      </c>
      <c r="E36" s="35"/>
      <c r="P36" s="52"/>
      <c r="Q36" s="38"/>
    </row>
    <row r="37" spans="1:19" ht="15" customHeight="1" x14ac:dyDescent="0.25">
      <c r="A37" s="46">
        <v>1</v>
      </c>
      <c r="E37" s="36"/>
      <c r="P37" s="52"/>
      <c r="Q37" s="38"/>
    </row>
    <row r="38" spans="1:19" ht="15" customHeight="1" x14ac:dyDescent="0.25">
      <c r="B38" s="37" t="s">
        <v>6</v>
      </c>
      <c r="C38" s="50">
        <v>5</v>
      </c>
      <c r="E38" s="38"/>
      <c r="F38" s="105" t="str">
        <f ca="1">IF(ISBLANK(D36),"",IF(D36&gt;D40,B36,B40))</f>
        <v>Зубова, Трутнев</v>
      </c>
      <c r="G38" s="107"/>
      <c r="H38" s="34">
        <v>7</v>
      </c>
      <c r="I38" s="35"/>
      <c r="P38" s="52"/>
      <c r="Q38" s="38"/>
    </row>
    <row r="39" spans="1:19" ht="15" customHeight="1" x14ac:dyDescent="0.25">
      <c r="E39" s="38"/>
      <c r="I39" s="36"/>
      <c r="P39" s="52"/>
      <c r="Q39" s="38"/>
    </row>
    <row r="40" spans="1:19" ht="15" customHeight="1" x14ac:dyDescent="0.25">
      <c r="A40" s="46" t="s">
        <v>100</v>
      </c>
      <c r="B40" s="106" t="str">
        <f ca="1">IF(LEFT(A41,1)="-",IF(ISBLANK(INDIRECT(ADDRESS(2^MID(A41,2,1)+2+(MID(A41,3,2)-1)*2^(MID(A41,2,1)+2),MID(A41,2,1)*4,,,A40))),"",IF(INDIRECT(ADDRESS(2^MID(A41,2,1)+2+(MID(A41,3,2)-1)*2^(MID(A41,2,1)+2),MID(A41,2,1)*4,,,A40))&gt;INDIRECT(ADDRESS(2^(1+MID(A41,2,1))+2^MID(A41,2,1)+2+(MID(A41,3,2)-1)*2^(MID(A41,2,1)+2),MID(A41,2,1)*4,,,A40)),INDIRECT(ADDRESS(2^(1+MID(A41,2,1))+2^MID(A41,2,1)+2+(MID(A41,3,2)-1)*2^(MID(A41,2,1)+2),MID(A41,2,1)*4-2,,,A40)),INDIRECT(ADDRESS(2^MID(A41,2,1)+2+(MID(A41,3,2)-1)*2^(MID(A41,2,1)+2),MID(A41,2,1)*4-2,,,A40)))),IF(LEFT(A40,1)="X",IFERROR(INDIRECT(ADDRESS(MATCH(A41,OFFSET(INDIRECT(ADDRESS(1,3,,,A40)),0,0,200,1),0),2,,,A40)),""),IFERROR(INDIRECT(ADDRESS(MATCH(A41,OFFSET(INDIRECT(ADDRESS(3,2,,,A40)),1,6+MAX(OFFSET(INDIRECT(ADDRESS(3,2,,,A40)),0,0,1,20)),2*MAX(OFFSET(INDIRECT(ADDRESS(3,2,,,A40)),0,0,1,20)),1),0)+3,3,,,A40)),"")))</f>
        <v>Зубова, Трутнев</v>
      </c>
      <c r="C40" s="107"/>
      <c r="D40" s="34">
        <v>13</v>
      </c>
      <c r="E40" s="39"/>
      <c r="I40" s="38"/>
      <c r="P40" s="52"/>
      <c r="Q40" s="38"/>
    </row>
    <row r="41" spans="1:19" ht="15" customHeight="1" x14ac:dyDescent="0.25">
      <c r="A41" s="46">
        <v>2</v>
      </c>
      <c r="I41" s="38"/>
      <c r="P41" s="52"/>
      <c r="Q41" s="38"/>
    </row>
    <row r="42" spans="1:19" ht="15" customHeight="1" x14ac:dyDescent="0.25">
      <c r="G42" s="37" t="s">
        <v>6</v>
      </c>
      <c r="H42" s="50">
        <v>3</v>
      </c>
      <c r="I42" s="38"/>
      <c r="J42" s="105" t="str">
        <f ca="1">IF(ISBLANK(H38),"",IF(H38&gt;H46,F38,F46))</f>
        <v>Артюхина, Гулинин</v>
      </c>
      <c r="K42" s="106"/>
      <c r="L42" s="34">
        <v>3</v>
      </c>
      <c r="M42" s="35"/>
      <c r="P42" s="52"/>
      <c r="Q42" s="38"/>
    </row>
    <row r="43" spans="1:19" ht="15" customHeight="1" x14ac:dyDescent="0.25">
      <c r="I43" s="38"/>
      <c r="M43" s="36"/>
      <c r="P43" s="52"/>
      <c r="Q43" s="38"/>
    </row>
    <row r="44" spans="1:19" ht="15" customHeight="1" x14ac:dyDescent="0.25">
      <c r="A44" s="46" t="s">
        <v>103</v>
      </c>
      <c r="B44" s="106" t="str">
        <f ca="1">IF(LEFT(A45,1)="-",IF(ISBLANK(INDIRECT(ADDRESS(2^MID(A45,2,1)+2+(MID(A45,3,2)-1)*2^(MID(A45,2,1)+2),MID(A45,2,1)*4,,,A44))),"",IF(INDIRECT(ADDRESS(2^MID(A45,2,1)+2+(MID(A45,3,2)-1)*2^(MID(A45,2,1)+2),MID(A45,2,1)*4,,,A44))&gt;INDIRECT(ADDRESS(2^(1+MID(A45,2,1))+2^MID(A45,2,1)+2+(MID(A45,3,2)-1)*2^(MID(A45,2,1)+2),MID(A45,2,1)*4,,,A44)),INDIRECT(ADDRESS(2^(1+MID(A45,2,1))+2^MID(A45,2,1)+2+(MID(A45,3,2)-1)*2^(MID(A45,2,1)+2),MID(A45,2,1)*4-2,,,A44)),INDIRECT(ADDRESS(2^MID(A45,2,1)+2+(MID(A45,3,2)-1)*2^(MID(A45,2,1)+2),MID(A45,2,1)*4-2,,,A44)))),IF(LEFT(A44,1)="X",IFERROR(INDIRECT(ADDRESS(MATCH(A45,OFFSET(INDIRECT(ADDRESS(1,3,,,A44)),0,0,200,1),0),2,,,A44)),""),IFERROR(INDIRECT(ADDRESS(MATCH(A45,OFFSET(INDIRECT(ADDRESS(3,2,,,A44)),1,6+MAX(OFFSET(INDIRECT(ADDRESS(3,2,,,A44)),0,0,1,20)),2*MAX(OFFSET(INDIRECT(ADDRESS(3,2,,,A44)),0,0,1,20)),1),0)+3,3,,,A44)),"")))</f>
        <v>Артюхина, Гулинин</v>
      </c>
      <c r="C44" s="107"/>
      <c r="D44" s="34">
        <v>13</v>
      </c>
      <c r="E44" s="35"/>
      <c r="I44" s="38"/>
      <c r="M44" s="38"/>
      <c r="P44" s="52"/>
      <c r="Q44" s="38"/>
    </row>
    <row r="45" spans="1:19" ht="15" customHeight="1" x14ac:dyDescent="0.25">
      <c r="A45" s="46">
        <v>1</v>
      </c>
      <c r="E45" s="36"/>
      <c r="I45" s="38"/>
      <c r="M45" s="38"/>
      <c r="P45" s="52"/>
      <c r="Q45" s="38"/>
    </row>
    <row r="46" spans="1:19" ht="15" customHeight="1" x14ac:dyDescent="0.25">
      <c r="B46" s="37" t="s">
        <v>6</v>
      </c>
      <c r="C46" s="50">
        <v>6</v>
      </c>
      <c r="E46" s="38"/>
      <c r="F46" s="105" t="str">
        <f ca="1">IF(ISBLANK(D44),"",IF(D44&gt;D48,B44,B48))</f>
        <v>Артюхина, Гулинин</v>
      </c>
      <c r="G46" s="107"/>
      <c r="H46" s="34">
        <v>13</v>
      </c>
      <c r="I46" s="39"/>
      <c r="M46" s="38"/>
      <c r="P46" s="52"/>
      <c r="Q46" s="38"/>
    </row>
    <row r="47" spans="1:19" ht="15" customHeight="1" x14ac:dyDescent="0.25">
      <c r="E47" s="38"/>
      <c r="M47" s="38"/>
      <c r="P47" s="52"/>
      <c r="Q47" s="38"/>
    </row>
    <row r="48" spans="1:19" ht="15" customHeight="1" x14ac:dyDescent="0.25">
      <c r="A48" s="46" t="s">
        <v>105</v>
      </c>
      <c r="B48" s="106" t="str">
        <f ca="1">IF(LEFT(A49,1)="-",IF(ISBLANK(INDIRECT(ADDRESS(2^MID(A49,2,1)+2+(MID(A49,3,2)-1)*2^(MID(A49,2,1)+2),MID(A49,2,1)*4,,,A48))),"",IF(INDIRECT(ADDRESS(2^MID(A49,2,1)+2+(MID(A49,3,2)-1)*2^(MID(A49,2,1)+2),MID(A49,2,1)*4,,,A48))&gt;INDIRECT(ADDRESS(2^(1+MID(A49,2,1))+2^MID(A49,2,1)+2+(MID(A49,3,2)-1)*2^(MID(A49,2,1)+2),MID(A49,2,1)*4,,,A48)),INDIRECT(ADDRESS(2^(1+MID(A49,2,1))+2^MID(A49,2,1)+2+(MID(A49,3,2)-1)*2^(MID(A49,2,1)+2),MID(A49,2,1)*4-2,,,A48)),INDIRECT(ADDRESS(2^MID(A49,2,1)+2+(MID(A49,3,2)-1)*2^(MID(A49,2,1)+2),MID(A49,2,1)*4-2,,,A48)))),IF(LEFT(A48,1)="X",IFERROR(INDIRECT(ADDRESS(MATCH(A49,OFFSET(INDIRECT(ADDRESS(1,3,,,A48)),0,0,200,1),0),2,,,A48)),""),IFERROR(INDIRECT(ADDRESS(MATCH(A49,OFFSET(INDIRECT(ADDRESS(3,2,,,A48)),1,6+MAX(OFFSET(INDIRECT(ADDRESS(3,2,,,A48)),0,0,1,20)),2*MAX(OFFSET(INDIRECT(ADDRESS(3,2,,,A48)),0,0,1,20)),1),0)+3,3,,,A48)),"")))</f>
        <v>Бирюкова, Африканов</v>
      </c>
      <c r="C48" s="107"/>
      <c r="D48" s="34">
        <v>2</v>
      </c>
      <c r="E48" s="39"/>
      <c r="M48" s="38"/>
      <c r="P48" s="52"/>
      <c r="Q48" s="38"/>
    </row>
    <row r="49" spans="1:17" ht="15" customHeight="1" x14ac:dyDescent="0.25">
      <c r="A49" s="46">
        <v>2</v>
      </c>
      <c r="M49" s="38"/>
      <c r="P49" s="52"/>
      <c r="Q49" s="38"/>
    </row>
    <row r="50" spans="1:17" ht="15" customHeight="1" x14ac:dyDescent="0.25">
      <c r="K50" s="37" t="s">
        <v>6</v>
      </c>
      <c r="L50" s="50" t="s">
        <v>104</v>
      </c>
      <c r="M50" s="38"/>
      <c r="N50" s="105" t="str">
        <f ca="1">IF(ISBLANK(L42),"",IF(L42&gt;L58,J42,J58))</f>
        <v>Курбанова, Михеенко</v>
      </c>
      <c r="O50" s="106"/>
      <c r="P50" s="34">
        <v>13</v>
      </c>
      <c r="Q50" s="39"/>
    </row>
    <row r="51" spans="1:17" ht="15" customHeight="1" x14ac:dyDescent="0.25">
      <c r="M51" s="38"/>
    </row>
    <row r="52" spans="1:17" ht="15" customHeight="1" x14ac:dyDescent="0.25">
      <c r="A52" s="46" t="s">
        <v>99</v>
      </c>
      <c r="B52" s="106" t="str">
        <f ca="1">IF(LEFT(A53,1)="-",IF(ISBLANK(INDIRECT(ADDRESS(2^MID(A53,2,1)+2+(MID(A53,3,2)-1)*2^(MID(A53,2,1)+2),MID(A53,2,1)*4,,,A52))),"",IF(INDIRECT(ADDRESS(2^MID(A53,2,1)+2+(MID(A53,3,2)-1)*2^(MID(A53,2,1)+2),MID(A53,2,1)*4,,,A52))&gt;INDIRECT(ADDRESS(2^(1+MID(A53,2,1))+2^MID(A53,2,1)+2+(MID(A53,3,2)-1)*2^(MID(A53,2,1)+2),MID(A53,2,1)*4,,,A52)),INDIRECT(ADDRESS(2^(1+MID(A53,2,1))+2^MID(A53,2,1)+2+(MID(A53,3,2)-1)*2^(MID(A53,2,1)+2),MID(A53,2,1)*4-2,,,A52)),INDIRECT(ADDRESS(2^MID(A53,2,1)+2+(MID(A53,3,2)-1)*2^(MID(A53,2,1)+2),MID(A53,2,1)*4-2,,,A52)))),IF(LEFT(A52,1)="X",IFERROR(INDIRECT(ADDRESS(MATCH(A53,OFFSET(INDIRECT(ADDRESS(1,3,,,A52)),0,0,200,1),0),2,,,A52)),""),IFERROR(INDIRECT(ADDRESS(MATCH(A53,OFFSET(INDIRECT(ADDRESS(3,2,,,A52)),1,6+MAX(OFFSET(INDIRECT(ADDRESS(3,2,,,A52)),0,0,1,20)),2*MAX(OFFSET(INDIRECT(ADDRESS(3,2,,,A52)),0,0,1,20)),1),0)+3,3,,,A52)),"")))</f>
        <v>Лукьянова, Рядовиков</v>
      </c>
      <c r="C52" s="107"/>
      <c r="D52" s="34">
        <v>3</v>
      </c>
      <c r="E52" s="35"/>
      <c r="M52" s="38"/>
    </row>
    <row r="53" spans="1:17" ht="15" customHeight="1" x14ac:dyDescent="0.25">
      <c r="A53" s="46">
        <v>1</v>
      </c>
      <c r="E53" s="36"/>
      <c r="M53" s="38"/>
    </row>
    <row r="54" spans="1:17" ht="15" customHeight="1" x14ac:dyDescent="0.25">
      <c r="B54" s="37" t="s">
        <v>6</v>
      </c>
      <c r="C54" s="50">
        <v>7</v>
      </c>
      <c r="E54" s="38"/>
      <c r="F54" s="105" t="str">
        <f ca="1">IF(ISBLANK(D52),"",IF(D52&gt;D56,B52,B56))</f>
        <v>Курбанова, Михеенко</v>
      </c>
      <c r="G54" s="107"/>
      <c r="H54" s="34">
        <v>13</v>
      </c>
      <c r="I54" s="35"/>
      <c r="M54" s="38"/>
    </row>
    <row r="55" spans="1:17" ht="15" customHeight="1" x14ac:dyDescent="0.25">
      <c r="E55" s="38"/>
      <c r="I55" s="36"/>
      <c r="M55" s="38"/>
    </row>
    <row r="56" spans="1:17" ht="15" customHeight="1" x14ac:dyDescent="0.25">
      <c r="A56" s="46" t="s">
        <v>103</v>
      </c>
      <c r="B56" s="106" t="str">
        <f ca="1">IF(LEFT(A57,1)="-",IF(ISBLANK(INDIRECT(ADDRESS(2^MID(A57,2,1)+2+(MID(A57,3,2)-1)*2^(MID(A57,2,1)+2),MID(A57,2,1)*4,,,A56))),"",IF(INDIRECT(ADDRESS(2^MID(A57,2,1)+2+(MID(A57,3,2)-1)*2^(MID(A57,2,1)+2),MID(A57,2,1)*4,,,A56))&gt;INDIRECT(ADDRESS(2^(1+MID(A57,2,1))+2^MID(A57,2,1)+2+(MID(A57,3,2)-1)*2^(MID(A57,2,1)+2),MID(A57,2,1)*4,,,A56)),INDIRECT(ADDRESS(2^(1+MID(A57,2,1))+2^MID(A57,2,1)+2+(MID(A57,3,2)-1)*2^(MID(A57,2,1)+2),MID(A57,2,1)*4-2,,,A56)),INDIRECT(ADDRESS(2^MID(A57,2,1)+2+(MID(A57,3,2)-1)*2^(MID(A57,2,1)+2),MID(A57,2,1)*4-2,,,A56)))),IF(LEFT(A56,1)="X",IFERROR(INDIRECT(ADDRESS(MATCH(A57,OFFSET(INDIRECT(ADDRESS(1,3,,,A56)),0,0,200,1),0),2,,,A56)),""),IFERROR(INDIRECT(ADDRESS(MATCH(A57,OFFSET(INDIRECT(ADDRESS(3,2,,,A56)),1,6+MAX(OFFSET(INDIRECT(ADDRESS(3,2,,,A56)),0,0,1,20)),2*MAX(OFFSET(INDIRECT(ADDRESS(3,2,,,A56)),0,0,1,20)),1),0)+3,3,,,A56)),"")))</f>
        <v>Курбанова, Михеенко</v>
      </c>
      <c r="C56" s="107"/>
      <c r="D56" s="34">
        <v>13</v>
      </c>
      <c r="E56" s="39"/>
      <c r="I56" s="38"/>
      <c r="M56" s="38"/>
    </row>
    <row r="57" spans="1:17" ht="15" customHeight="1" x14ac:dyDescent="0.25">
      <c r="A57" s="46">
        <v>2</v>
      </c>
      <c r="I57" s="38"/>
      <c r="M57" s="38"/>
    </row>
    <row r="58" spans="1:17" ht="15" customHeight="1" x14ac:dyDescent="0.25">
      <c r="G58" s="37" t="s">
        <v>6</v>
      </c>
      <c r="H58" s="50">
        <v>4</v>
      </c>
      <c r="I58" s="38"/>
      <c r="J58" s="105" t="str">
        <f ca="1">IF(ISBLANK(H54),"",IF(H54&gt;H62,F54,F62))</f>
        <v>Курбанова, Михеенко</v>
      </c>
      <c r="K58" s="107"/>
      <c r="L58" s="34">
        <v>13</v>
      </c>
      <c r="M58" s="39"/>
    </row>
    <row r="59" spans="1:17" ht="15" customHeight="1" x14ac:dyDescent="0.25">
      <c r="I59" s="38"/>
    </row>
    <row r="60" spans="1:17" ht="15" customHeight="1" x14ac:dyDescent="0.25">
      <c r="A60" s="46" t="s">
        <v>98</v>
      </c>
      <c r="B60" s="106" t="str">
        <f ca="1">IF(LEFT(A61,1)="-",IF(ISBLANK(INDIRECT(ADDRESS(2^MID(A61,2,1)+2+(MID(A61,3,2)-1)*2^(MID(A61,2,1)+2),MID(A61,2,1)*4,,,A60))),"",IF(INDIRECT(ADDRESS(2^MID(A61,2,1)+2+(MID(A61,3,2)-1)*2^(MID(A61,2,1)+2),MID(A61,2,1)*4,,,A60))&gt;INDIRECT(ADDRESS(2^(1+MID(A61,2,1))+2^MID(A61,2,1)+2+(MID(A61,3,2)-1)*2^(MID(A61,2,1)+2),MID(A61,2,1)*4,,,A60)),INDIRECT(ADDRESS(2^(1+MID(A61,2,1))+2^MID(A61,2,1)+2+(MID(A61,3,2)-1)*2^(MID(A61,2,1)+2),MID(A61,2,1)*4-2,,,A60)),INDIRECT(ADDRESS(2^MID(A61,2,1)+2+(MID(A61,3,2)-1)*2^(MID(A61,2,1)+2),MID(A61,2,1)*4-2,,,A60)))),IF(LEFT(A60,1)="X",IFERROR(INDIRECT(ADDRESS(MATCH(A61,OFFSET(INDIRECT(ADDRESS(1,3,,,A60)),0,0,200,1),0),2,,,A60)),""),IFERROR(INDIRECT(ADDRESS(MATCH(A61,OFFSET(INDIRECT(ADDRESS(3,2,,,A60)),1,6+MAX(OFFSET(INDIRECT(ADDRESS(3,2,,,A60)),0,0,1,20)),2*MAX(OFFSET(INDIRECT(ADDRESS(3,2,,,A60)),0,0,1,20)),1),0)+3,3,,,A60)),"")))</f>
        <v>Крошилова, Тихонов</v>
      </c>
      <c r="C60" s="107"/>
      <c r="D60" s="34">
        <v>13</v>
      </c>
      <c r="E60" s="35"/>
      <c r="I60" s="38"/>
    </row>
    <row r="61" spans="1:17" ht="15" customHeight="1" x14ac:dyDescent="0.25">
      <c r="A61" s="46">
        <v>2</v>
      </c>
      <c r="E61" s="36"/>
      <c r="I61" s="38"/>
    </row>
    <row r="62" spans="1:17" ht="15" customHeight="1" x14ac:dyDescent="0.25">
      <c r="B62" s="37" t="s">
        <v>6</v>
      </c>
      <c r="C62" s="50">
        <v>8</v>
      </c>
      <c r="E62" s="38"/>
      <c r="F62" s="105" t="str">
        <f ca="1">IF(ISBLANK(D60),"",IF(D60&gt;D64,B60,B64))</f>
        <v>Крошилова, Тихонов</v>
      </c>
      <c r="G62" s="107"/>
      <c r="H62" s="34">
        <v>8</v>
      </c>
      <c r="I62" s="39"/>
    </row>
    <row r="63" spans="1:17" ht="15" customHeight="1" x14ac:dyDescent="0.25">
      <c r="C63" s="33"/>
      <c r="E63" s="38"/>
    </row>
    <row r="64" spans="1:17" ht="15" customHeight="1" x14ac:dyDescent="0.25">
      <c r="A64" s="46" t="s">
        <v>97</v>
      </c>
      <c r="B64" s="106" t="str">
        <f ca="1">IF(LEFT(A65,1)="-",IF(ISBLANK(INDIRECT(ADDRESS(2^MID(A65,2,1)+2+(MID(A65,3,2)-1)*2^(MID(A65,2,1)+2),MID(A65,2,1)*4,,,A64))),"",IF(INDIRECT(ADDRESS(2^MID(A65,2,1)+2+(MID(A65,3,2)-1)*2^(MID(A65,2,1)+2),MID(A65,2,1)*4,,,A64))&gt;INDIRECT(ADDRESS(2^(1+MID(A65,2,1))+2^MID(A65,2,1)+2+(MID(A65,3,2)-1)*2^(MID(A65,2,1)+2),MID(A65,2,1)*4,,,A64)),INDIRECT(ADDRESS(2^(1+MID(A65,2,1))+2^MID(A65,2,1)+2+(MID(A65,3,2)-1)*2^(MID(A65,2,1)+2),MID(A65,2,1)*4-2,,,A64)),INDIRECT(ADDRESS(2^MID(A65,2,1)+2+(MID(A65,3,2)-1)*2^(MID(A65,2,1)+2),MID(A65,2,1)*4-2,,,A64)))),IF(LEFT(A64,1)="X",IFERROR(INDIRECT(ADDRESS(MATCH(A65,OFFSET(INDIRECT(ADDRESS(1,3,,,A64)),0,0,200,1),0),2,,,A64)),""),IFERROR(INDIRECT(ADDRESS(MATCH(A65,OFFSET(INDIRECT(ADDRESS(3,2,,,A64)),1,6+MAX(OFFSET(INDIRECT(ADDRESS(3,2,,,A64)),0,0,1,20)),2*MAX(OFFSET(INDIRECT(ADDRESS(3,2,,,A64)),0,0,1,20)),1),0)+3,3,,,A64)),"")))</f>
        <v>Комаровы</v>
      </c>
      <c r="C64" s="107"/>
      <c r="D64" s="34">
        <v>5</v>
      </c>
      <c r="E64" s="39"/>
    </row>
    <row r="65" spans="1:7" x14ac:dyDescent="0.25">
      <c r="A65" s="46">
        <v>2</v>
      </c>
    </row>
    <row r="68" spans="1:7" ht="15" customHeight="1" x14ac:dyDescent="0.25">
      <c r="B68" s="106" t="str">
        <f ca="1">IF(ISBLANK(L10),"",IF(L10&gt;L26,J26,J10))</f>
        <v>Коппа, Жака</v>
      </c>
      <c r="C68" s="107"/>
      <c r="D68" s="34">
        <v>4</v>
      </c>
      <c r="E68" s="35"/>
      <c r="F68" s="108"/>
      <c r="G68" s="108"/>
    </row>
    <row r="69" spans="1:7" ht="15" customHeight="1" x14ac:dyDescent="0.25">
      <c r="E69" s="36"/>
    </row>
    <row r="70" spans="1:7" ht="15" customHeight="1" x14ac:dyDescent="0.25">
      <c r="B70" s="37" t="s">
        <v>6</v>
      </c>
      <c r="C70" s="50" t="s">
        <v>104</v>
      </c>
      <c r="E70" s="38"/>
      <c r="F70" s="105" t="str">
        <f ca="1">IF(ISBLANK(D68),"",IF(D68&gt;D72,B68,B72))</f>
        <v>Артюхина, Гулинин</v>
      </c>
      <c r="G70" s="106"/>
    </row>
    <row r="71" spans="1:7" ht="15" customHeight="1" x14ac:dyDescent="0.25">
      <c r="E71" s="38"/>
    </row>
    <row r="72" spans="1:7" ht="15" customHeight="1" x14ac:dyDescent="0.25">
      <c r="B72" s="106" t="str">
        <f ca="1">IF(ISBLANK(L42),"",IF(L42&gt;L58,J58,J42))</f>
        <v>Артюхина, Гулинин</v>
      </c>
      <c r="C72" s="107"/>
      <c r="D72" s="34">
        <v>13</v>
      </c>
      <c r="E72" s="39"/>
    </row>
    <row r="86" spans="12:12" ht="15" customHeight="1" x14ac:dyDescent="0.25">
      <c r="L86" s="33"/>
    </row>
  </sheetData>
  <mergeCells count="36">
    <mergeCell ref="B28:C28"/>
    <mergeCell ref="F30:G30"/>
    <mergeCell ref="B32:C32"/>
    <mergeCell ref="B36:C36"/>
    <mergeCell ref="F38:G38"/>
    <mergeCell ref="N18:O18"/>
    <mergeCell ref="B20:C20"/>
    <mergeCell ref="F22:G22"/>
    <mergeCell ref="B24:C24"/>
    <mergeCell ref="J26:K26"/>
    <mergeCell ref="F14:G14"/>
    <mergeCell ref="B16:C16"/>
    <mergeCell ref="B1:K1"/>
    <mergeCell ref="B4:C4"/>
    <mergeCell ref="F6:G6"/>
    <mergeCell ref="B8:C8"/>
    <mergeCell ref="J10:K10"/>
    <mergeCell ref="B12:C12"/>
    <mergeCell ref="R34:S34"/>
    <mergeCell ref="J42:K42"/>
    <mergeCell ref="B44:C44"/>
    <mergeCell ref="F46:G46"/>
    <mergeCell ref="B48:C48"/>
    <mergeCell ref="B40:C40"/>
    <mergeCell ref="N50:O50"/>
    <mergeCell ref="B52:C52"/>
    <mergeCell ref="F54:G54"/>
    <mergeCell ref="B56:C56"/>
    <mergeCell ref="J58:K58"/>
    <mergeCell ref="F70:G70"/>
    <mergeCell ref="B72:C72"/>
    <mergeCell ref="B60:C60"/>
    <mergeCell ref="F62:G62"/>
    <mergeCell ref="B64:C64"/>
    <mergeCell ref="B68:C68"/>
    <mergeCell ref="F68:G68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A</vt:lpstr>
      <vt:lpstr>B</vt:lpstr>
      <vt:lpstr>C</vt:lpstr>
      <vt:lpstr>D</vt:lpstr>
      <vt:lpstr>E</vt:lpstr>
      <vt:lpstr>F</vt:lpstr>
      <vt:lpstr>G</vt:lpstr>
      <vt:lpstr>Кубок А</vt:lpstr>
      <vt:lpstr>Кубок В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Тихонов Дмитрий</cp:lastModifiedBy>
  <cp:lastPrinted>2023-03-17T13:54:30Z</cp:lastPrinted>
  <dcterms:created xsi:type="dcterms:W3CDTF">2022-02-04T08:05:14Z</dcterms:created>
  <dcterms:modified xsi:type="dcterms:W3CDTF">2023-03-20T08:47:23Z</dcterms:modified>
</cp:coreProperties>
</file>